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12.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tables/table5.xml" ContentType="application/vnd.openxmlformats-officedocument.spreadsheetml.table+xml"/>
  <Override PartName="/xl/queryTables/queryTable1.xml" ContentType="application/vnd.openxmlformats-officedocument.spreadsheetml.query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hidePivotFieldList="1"/>
  <mc:AlternateContent xmlns:mc="http://schemas.openxmlformats.org/markup-compatibility/2006">
    <mc:Choice Requires="x15">
      <x15ac:absPath xmlns:x15ac="http://schemas.microsoft.com/office/spreadsheetml/2010/11/ac" url="C:\Users\Dell\Documents\Retail-Budget-Sales-Profit-Forecasting\02_Excel_Workbook\"/>
    </mc:Choice>
  </mc:AlternateContent>
  <xr:revisionPtr revIDLastSave="0" documentId="13_ncr:1_{8A7CC8BF-2E8A-45D7-B75E-0D86ABBB5072}" xr6:coauthVersionLast="47" xr6:coauthVersionMax="47" xr10:uidLastSave="{00000000-0000-0000-0000-000000000000}"/>
  <bookViews>
    <workbookView xWindow="-108" yWindow="-108" windowWidth="23256" windowHeight="13176" firstSheet="6" activeTab="11" xr2:uid="{00000000-000D-0000-FFFF-FFFF00000000}"/>
  </bookViews>
  <sheets>
    <sheet name="Monthly_Category_Actuals" sheetId="14" r:id="rId1"/>
    <sheet name="Inventory_Clean" sheetId="13" r:id="rId2"/>
    <sheet name="Sales_Clean" sheetId="12" r:id="rId3"/>
    <sheet name="Calendar_Clean" sheetId="11" r:id="rId4"/>
    <sheet name="Stores_Clean" sheetId="10" r:id="rId5"/>
    <sheet name="Products_Clean" sheetId="9" r:id="rId6"/>
    <sheet name="Instructions" sheetId="1" r:id="rId7"/>
    <sheet name="Dashboard" sheetId="2" r:id="rId8"/>
    <sheet name="Assumptions" sheetId="3" r:id="rId9"/>
    <sheet name="Budget" sheetId="4" r:id="rId10"/>
    <sheet name="Forecast" sheetId="5" r:id="rId11"/>
    <sheet name="Analysis" sheetId="6" r:id="rId12"/>
    <sheet name="Clean Data" sheetId="7" r:id="rId13"/>
    <sheet name="Raw Data" sheetId="8" r:id="rId14"/>
  </sheets>
  <definedNames>
    <definedName name="ExternalData_1" localSheetId="12" hidden="1">'Clean Data'!$A$3:$M$108</definedName>
    <definedName name="Slicer_Product_Category">#N/A</definedName>
    <definedName name="Slicer_Store_Location">#N/A</definedName>
    <definedName name="Slicer_Store_Name">#N/A</definedName>
    <definedName name="Slicer_Year">#N/A</definedName>
    <definedName name="Xs">Analysis!$A$4</definedName>
  </definedNames>
  <calcPr calcId="191029"/>
  <pivotCaches>
    <pivotCache cacheId="20" r:id="rId15"/>
    <pivotCache cacheId="34" r:id="rId16"/>
    <pivotCache cacheId="72" r:id="rId17"/>
    <pivotCache cacheId="491" r:id="rId18"/>
    <pivotCache cacheId="481" r:id="rId19"/>
    <pivotCache cacheId="485" r:id="rId20"/>
    <pivotCache cacheId="487" r:id="rId21"/>
    <pivotCache cacheId="483" r:id="rId22"/>
    <pivotCache cacheId="489" r:id="rId23"/>
    <pivotCache cacheId="494" r:id="rId24"/>
    <pivotCache cacheId="503" r:id="rId25"/>
  </pivotCaches>
  <extLst>
    <ext xmlns:x14="http://schemas.microsoft.com/office/spreadsheetml/2009/9/main" uri="{876F7934-8845-4945-9796-88D515C7AA90}">
      <x14:pivotCaches>
        <pivotCache cacheId="89" r:id="rId26"/>
      </x14:pivotCaches>
    </ext>
    <ext xmlns:x14="http://schemas.microsoft.com/office/spreadsheetml/2009/9/main" uri="{BBE1A952-AA13-448e-AADC-164F8A28A991}">
      <x14:slicerCaches>
        <x14:slicerCache r:id="rId27"/>
        <x14:slicerCache r:id="rId28"/>
        <x14:slicerCache r:id="rId29"/>
        <x14:slicerCache r:id="rId3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Sales_Clean_278c3f9d-5039-4f44-87f9-3a5d226e2b58" name="Sales_Clean" connection="Query - Sales_Clean"/>
          <x15:modelTable id="Products_Clean_e20e4ab4-3375-4c77-bd92-44039ea7de0f" name="Products_Clean" connection="Query - Products_Clean"/>
          <x15:modelTable id="Stores_Clean_d95149e4-4612-44aa-9035-cda3136bff22" name="Stores_Clean" connection="Query - Stores_Clean"/>
          <x15:modelTable id="Calendar_Clean_8740b25c-1beb-4a6a-b7a3-4d075ab0542a" name="Calendar_Clean" connection="Query - Calendar_Clean"/>
          <x15:modelTable id="Inventory_Clean_8698a89d-ed1b-43b7-be34-962bce89b3ca" name="Inventory_Clean" connection="Query - Inventory_Clean"/>
        </x15:modelTables>
        <x15:modelRelationships>
          <x15:modelRelationship fromTable="Sales_Clean" fromColumn="Date" toTable="Calendar_Clean" toColumn="Date"/>
          <x15:modelRelationship fromTable="Sales_Clean" fromColumn="Product_ID" toTable="Products_Clean" toColumn="Product_ID"/>
          <x15:modelRelationship fromTable="Sales_Clean" fromColumn="Store_ID" toTable="Stores_Clean" toColumn="Store_ID"/>
          <x15:modelRelationship fromTable="Inventory_Clean" fromColumn="Product_ID" toTable="Products_Clean" toColumn="Product_ID"/>
          <x15:modelRelationship fromTable="Inventory_Clean" fromColumn="Store_ID" toTable="Stores_Clean" toColumn="Store_ID"/>
        </x15:modelRelationships>
      </x15:dataModel>
    </ext>
  </extLst>
</workbook>
</file>

<file path=xl/calcChain.xml><?xml version="1.0" encoding="utf-8"?>
<calcChain xmlns="http://schemas.openxmlformats.org/spreadsheetml/2006/main">
  <c r="A13" i="2" l="1"/>
  <c r="G13" i="2"/>
  <c r="N5" i="4"/>
  <c r="N4" i="4"/>
  <c r="D13" i="2"/>
  <c r="O2" i="4"/>
  <c r="C4" i="2"/>
  <c r="I4" i="5"/>
  <c r="K7" i="5"/>
  <c r="K8" i="5"/>
  <c r="K9" i="5"/>
  <c r="K10" i="5"/>
  <c r="K11" i="5"/>
  <c r="K12" i="5"/>
  <c r="K13" i="5"/>
  <c r="K14" i="5"/>
  <c r="K15" i="5"/>
  <c r="K16" i="5"/>
  <c r="K17" i="5"/>
  <c r="K18" i="5"/>
  <c r="K19" i="5"/>
  <c r="K20" i="5"/>
  <c r="K21" i="5"/>
  <c r="F7" i="5"/>
  <c r="F8" i="5"/>
  <c r="F9" i="5"/>
  <c r="F10" i="5"/>
  <c r="F11" i="5"/>
  <c r="F12" i="5"/>
  <c r="F13" i="5"/>
  <c r="F14" i="5"/>
  <c r="F15" i="5"/>
  <c r="F16" i="5"/>
  <c r="F17" i="5"/>
  <c r="F18" i="5"/>
  <c r="F19" i="5"/>
  <c r="F20" i="5"/>
  <c r="F21" i="5"/>
  <c r="A17" i="5"/>
  <c r="A18" i="5"/>
  <c r="A19" i="5"/>
  <c r="A20" i="5"/>
  <c r="A21" i="5"/>
  <c r="A12" i="5"/>
  <c r="A13" i="5"/>
  <c r="A14" i="5"/>
  <c r="A15" i="5"/>
  <c r="A16" i="5"/>
  <c r="A7" i="5"/>
  <c r="A8" i="5"/>
  <c r="A9" i="5"/>
  <c r="A10" i="5"/>
  <c r="A11" i="5"/>
  <c r="C7" i="5"/>
  <c r="C8" i="5"/>
  <c r="C9" i="5"/>
  <c r="C10" i="5"/>
  <c r="C11" i="5"/>
  <c r="C12" i="5"/>
  <c r="C13" i="5"/>
  <c r="C14" i="5"/>
  <c r="C15" i="5"/>
  <c r="C16" i="5"/>
  <c r="C17" i="5"/>
  <c r="C18" i="5"/>
  <c r="C19" i="5"/>
  <c r="C20" i="5"/>
  <c r="C21" i="5"/>
  <c r="L2" i="4"/>
  <c r="J2" i="4"/>
  <c r="H2" i="4"/>
  <c r="F2" i="4"/>
  <c r="D2" i="4"/>
  <c r="B2" i="4"/>
  <c r="G8" i="4"/>
  <c r="G9" i="4"/>
  <c r="G10" i="4"/>
  <c r="G11" i="4"/>
  <c r="G12" i="4"/>
  <c r="G13" i="4"/>
  <c r="G14" i="4"/>
  <c r="G15" i="4"/>
  <c r="G16" i="4"/>
  <c r="G17" i="4"/>
  <c r="G18" i="4"/>
  <c r="G19" i="4"/>
  <c r="G20" i="4"/>
  <c r="G21" i="4"/>
  <c r="I21" i="4" s="1"/>
  <c r="G22" i="4"/>
  <c r="I22" i="4" s="1"/>
  <c r="G23" i="4"/>
  <c r="I23" i="4" s="1"/>
  <c r="G24" i="4"/>
  <c r="G25" i="4"/>
  <c r="G26" i="4"/>
  <c r="G27" i="4"/>
  <c r="G28" i="4"/>
  <c r="G29" i="4"/>
  <c r="I29" i="4" s="1"/>
  <c r="G30" i="4"/>
  <c r="G31" i="4"/>
  <c r="I31" i="4" s="1"/>
  <c r="G32" i="4"/>
  <c r="G33" i="4"/>
  <c r="G34" i="4"/>
  <c r="G35" i="4"/>
  <c r="G36" i="4"/>
  <c r="G37" i="4"/>
  <c r="I37" i="4" s="1"/>
  <c r="G38" i="4"/>
  <c r="G39" i="4"/>
  <c r="I39" i="4" s="1"/>
  <c r="G40" i="4"/>
  <c r="G41" i="4"/>
  <c r="G42" i="4"/>
  <c r="G43" i="4"/>
  <c r="G44" i="4"/>
  <c r="G45" i="4"/>
  <c r="I45" i="4" s="1"/>
  <c r="G46" i="4"/>
  <c r="G47" i="4"/>
  <c r="I47" i="4" s="1"/>
  <c r="G48" i="4"/>
  <c r="G49" i="4"/>
  <c r="G50" i="4"/>
  <c r="G51" i="4"/>
  <c r="I12" i="4"/>
  <c r="I13" i="4"/>
  <c r="I14" i="4"/>
  <c r="I15"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K7" i="4"/>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I7" i="4"/>
  <c r="I8" i="4"/>
  <c r="I9" i="4"/>
  <c r="I10" i="4"/>
  <c r="I11" i="4"/>
  <c r="I16" i="4"/>
  <c r="I17" i="4"/>
  <c r="I18" i="4"/>
  <c r="I19" i="4"/>
  <c r="I20" i="4"/>
  <c r="I24" i="4"/>
  <c r="I25" i="4"/>
  <c r="I26" i="4"/>
  <c r="I27" i="4"/>
  <c r="I28" i="4"/>
  <c r="I30" i="4"/>
  <c r="I32" i="4"/>
  <c r="I33" i="4"/>
  <c r="I34" i="4"/>
  <c r="I35" i="4"/>
  <c r="I36" i="4"/>
  <c r="I38" i="4"/>
  <c r="I40" i="4"/>
  <c r="I41" i="4"/>
  <c r="I42" i="4"/>
  <c r="I43" i="4"/>
  <c r="I44" i="4"/>
  <c r="I46" i="4"/>
  <c r="I48" i="4"/>
  <c r="I49" i="4"/>
  <c r="I50" i="4"/>
  <c r="I51" i="4"/>
  <c r="H7" i="4"/>
  <c r="H8" i="4"/>
  <c r="H9" i="4"/>
  <c r="H10" i="4"/>
  <c r="H11" i="4"/>
  <c r="H12"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G7"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E7" i="4"/>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7" i="4"/>
  <c r="B5" i="3"/>
  <c r="G14" i="5" s="1"/>
  <c r="B4" i="3"/>
  <c r="D9" i="5" s="1"/>
  <c r="L18" i="2"/>
  <c r="A18" i="2"/>
  <c r="J13" i="2"/>
  <c r="M13" i="2"/>
  <c r="E9" i="5" l="1"/>
  <c r="D16" i="5"/>
  <c r="D8" i="5"/>
  <c r="G21" i="5"/>
  <c r="G13" i="5"/>
  <c r="D13" i="5"/>
  <c r="G18" i="5"/>
  <c r="D15" i="5"/>
  <c r="D7" i="5"/>
  <c r="G20" i="5"/>
  <c r="G12" i="5"/>
  <c r="D14" i="5"/>
  <c r="G19" i="5"/>
  <c r="G11" i="5"/>
  <c r="D20" i="5"/>
  <c r="D12" i="5"/>
  <c r="G17" i="5"/>
  <c r="G9" i="5"/>
  <c r="H9" i="5" s="1"/>
  <c r="D19" i="5"/>
  <c r="D11" i="5"/>
  <c r="G16" i="5"/>
  <c r="G8" i="5"/>
  <c r="D21" i="5"/>
  <c r="G10" i="5"/>
  <c r="D18" i="5"/>
  <c r="D10" i="5"/>
  <c r="G15" i="5"/>
  <c r="G7" i="5"/>
  <c r="D17" i="5"/>
  <c r="H13" i="4"/>
  <c r="E18" i="5" l="1"/>
  <c r="H18" i="5"/>
  <c r="E12" i="5"/>
  <c r="H12" i="5"/>
  <c r="H15" i="5"/>
  <c r="E15" i="5"/>
  <c r="I15" i="5" s="1"/>
  <c r="J15" i="5" s="1"/>
  <c r="H21" i="5"/>
  <c r="E21" i="5"/>
  <c r="I21" i="5" s="1"/>
  <c r="J21" i="5" s="1"/>
  <c r="H13" i="5"/>
  <c r="E13" i="5"/>
  <c r="H7" i="5"/>
  <c r="E7" i="5"/>
  <c r="E19" i="5"/>
  <c r="H19" i="5"/>
  <c r="E8" i="5"/>
  <c r="H8" i="5"/>
  <c r="I9" i="5"/>
  <c r="J9" i="5" s="1"/>
  <c r="E20" i="5"/>
  <c r="H20" i="5"/>
  <c r="E17" i="5"/>
  <c r="H17" i="5"/>
  <c r="E11" i="5"/>
  <c r="H11" i="5"/>
  <c r="H14" i="5"/>
  <c r="E14" i="5"/>
  <c r="E10" i="5"/>
  <c r="H10" i="5"/>
  <c r="E16" i="5"/>
  <c r="H16" i="5"/>
  <c r="I20" i="5" l="1"/>
  <c r="J20" i="5" s="1"/>
  <c r="I10" i="5"/>
  <c r="J10" i="5" s="1"/>
  <c r="I13" i="5"/>
  <c r="J13" i="5" s="1"/>
  <c r="I16" i="5"/>
  <c r="J16" i="5" s="1"/>
  <c r="I12" i="5"/>
  <c r="J12" i="5" s="1"/>
  <c r="I11" i="5"/>
  <c r="J11" i="5" s="1"/>
  <c r="I14" i="5"/>
  <c r="J14" i="5" s="1"/>
  <c r="I8" i="5"/>
  <c r="J8" i="5" s="1"/>
  <c r="I18" i="5"/>
  <c r="J18" i="5" s="1"/>
  <c r="I19" i="5"/>
  <c r="J19" i="5" s="1"/>
  <c r="I17" i="5"/>
  <c r="J17" i="5" s="1"/>
  <c r="A4" i="5"/>
  <c r="D18" i="2" s="1"/>
  <c r="I7" i="5"/>
  <c r="C4" i="5"/>
  <c r="J7" i="5" l="1"/>
  <c r="E4" i="5"/>
  <c r="G4" i="5" l="1"/>
  <c r="H18"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186C426-C1BF-424F-BFD3-70C4A9D21A1A}" name="Query - Calendar_Clean" description="Connection to the 'Calendar_Clean' query in the workbook." type="100" refreshedVersion="7" minRefreshableVersion="5">
    <extLst>
      <ext xmlns:x15="http://schemas.microsoft.com/office/spreadsheetml/2010/11/main" uri="{DE250136-89BD-433C-8126-D09CA5730AF9}">
        <x15:connection id="ea505783-dc9f-45d6-9022-b7dfa62aa00f"/>
      </ext>
    </extLst>
  </connection>
  <connection id="2" xr16:uid="{838390B9-4774-43ED-9BC2-2597441A2B68}" keepAlive="1" name="Query - Calendar_Raw" description="Connection to the 'Calendar_Raw' query in the workbook." type="5" refreshedVersion="0" background="1">
    <dbPr connection="Provider=Microsoft.Mashup.OleDb.1;Data Source=$Workbook$;Location=Calendar_Raw;Extended Properties=&quot;&quot;" command="SELECT * FROM [Calendar_Raw]"/>
  </connection>
  <connection id="3" xr16:uid="{8B46910B-50DE-412E-8725-5C1FE1DACEB3}" keepAlive="1" name="Query - DataDictionary_Raw" description="Connection to the 'DataDictionary_Raw' query in the workbook." type="5" refreshedVersion="0" background="1">
    <dbPr connection="Provider=Microsoft.Mashup.OleDb.1;Data Source=$Workbook$;Location=DataDictionary_Raw;Extended Properties=&quot;&quot;" command="SELECT * FROM [DataDictionary_Raw]"/>
  </connection>
  <connection id="4" xr16:uid="{D6FDC439-047D-45B7-83EF-981B5E62585E}" name="Query - Inventory_Clean" description="Connection to the 'Inventory_Clean' query in the workbook." type="100" refreshedVersion="7" minRefreshableVersion="5">
    <extLst>
      <ext xmlns:x15="http://schemas.microsoft.com/office/spreadsheetml/2010/11/main" uri="{DE250136-89BD-433C-8126-D09CA5730AF9}">
        <x15:connection id="9edfa4c3-83fa-4eca-abeb-70368ad851a7"/>
      </ext>
    </extLst>
  </connection>
  <connection id="5" xr16:uid="{30E27BCB-C5A2-4E6C-884C-D5696CBA2BD3}" keepAlive="1" name="Query - Inventory_Raw" description="Connection to the 'Inventory_Raw' query in the workbook." type="5" refreshedVersion="0" background="1">
    <dbPr connection="Provider=Microsoft.Mashup.OleDb.1;Data Source=$Workbook$;Location=Inventory_Raw;Extended Properties=&quot;&quot;" command="SELECT * FROM [Inventory_Raw]"/>
  </connection>
  <connection id="6" xr16:uid="{069C429B-D443-46A0-BF07-A86D78018487}" keepAlive="1" name="Query - Monthly_Category_Actuals" description="Connection to the 'Monthly_Category_Actuals' query in the workbook." type="5" refreshedVersion="7" background="1" saveData="1">
    <dbPr connection="Provider=Microsoft.Mashup.OleDb.1;Data Source=$Workbook$;Location=Monthly_Category_Actuals;Extended Properties=&quot;&quot;" command="SELECT * FROM [Monthly_Category_Actuals]"/>
  </connection>
  <connection id="7" xr16:uid="{02953C97-2EBC-490C-8B68-0CA8868DF4C5}" name="Query - Products_Clean" description="Connection to the 'Products_Clean' query in the workbook." type="100" refreshedVersion="7" minRefreshableVersion="5">
    <extLst>
      <ext xmlns:x15="http://schemas.microsoft.com/office/spreadsheetml/2010/11/main" uri="{DE250136-89BD-433C-8126-D09CA5730AF9}">
        <x15:connection id="8e3ba401-5d2f-49b3-98d5-b3ff19eecf83"/>
      </ext>
    </extLst>
  </connection>
  <connection id="8" xr16:uid="{35FC439A-6DC1-4BAE-9BAD-27A32139F8EA}" keepAlive="1" name="Query - Products_Raw" description="Connection to the 'Products_Raw' query in the workbook." type="5" refreshedVersion="0" background="1">
    <dbPr connection="Provider=Microsoft.Mashup.OleDb.1;Data Source=$Workbook$;Location=Products_Raw;Extended Properties=&quot;&quot;" command="SELECT * FROM [Products_Raw]"/>
  </connection>
  <connection id="9" xr16:uid="{BE8B1017-9734-4816-A895-421BB0845D54}" name="Query - Sales_Clean" description="Connection to the 'Sales_Clean' query in the workbook." type="100" refreshedVersion="7" minRefreshableVersion="5">
    <extLst>
      <ext xmlns:x15="http://schemas.microsoft.com/office/spreadsheetml/2010/11/main" uri="{DE250136-89BD-433C-8126-D09CA5730AF9}">
        <x15:connection id="893d0032-18da-464c-923e-ef3bb9e0fdbd"/>
      </ext>
    </extLst>
  </connection>
  <connection id="10" xr16:uid="{0B7C2C4F-C6EE-4D34-9EBF-34A9763E9CA1}" keepAlive="1" name="Query - Sales_Raw" description="Connection to the 'Sales_Raw' query in the workbook." type="5" refreshedVersion="0" background="1">
    <dbPr connection="Provider=Microsoft.Mashup.OleDb.1;Data Source=$Workbook$;Location=Sales_Raw;Extended Properties=&quot;&quot;" command="SELECT * FROM [Sales_Raw]"/>
  </connection>
  <connection id="11" xr16:uid="{5E340D79-A29C-4270-B013-BA1B886F8D9E}" name="Query - Stores_Clean" description="Connection to the 'Stores_Clean' query in the workbook." type="100" refreshedVersion="7" minRefreshableVersion="5">
    <extLst>
      <ext xmlns:x15="http://schemas.microsoft.com/office/spreadsheetml/2010/11/main" uri="{DE250136-89BD-433C-8126-D09CA5730AF9}">
        <x15:connection id="04a2dcda-7bfa-432b-ba37-b5ab647d583d"/>
      </ext>
    </extLst>
  </connection>
  <connection id="12" xr16:uid="{1F572F09-45E0-4BDC-806C-1D3B98427627}" keepAlive="1" name="Query - Stores_Raw" description="Connection to the 'Stores_Raw' query in the workbook." type="5" refreshedVersion="0" background="1">
    <dbPr connection="Provider=Microsoft.Mashup.OleDb.1;Data Source=$Workbook$;Location=Stores_Raw;Extended Properties=&quot;&quot;" command="SELECT * FROM [Stores_Raw]"/>
  </connection>
  <connection id="13" xr16:uid="{FBF79F96-0220-42DD-A1DE-3651DA4F0A00}" keepAlive="1" name="ThisWorkbookDataModel" description="Data Model" type="5" refreshedVersion="7"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<sst xmlns="http://schemas.openxmlformats.org/spreadsheetml/2006/main" count="690" uniqueCount="296">
  <si>
    <t>Source Data Register</t>
  </si>
  <si>
    <t>Record Count</t>
  </si>
  <si>
    <t>Purpose</t>
  </si>
  <si>
    <t>Load Method</t>
  </si>
  <si>
    <t>Status</t>
  </si>
  <si>
    <t>sales.csv</t>
  </si>
  <si>
    <t>Sales_Raw</t>
  </si>
  <si>
    <t>Connection only</t>
  </si>
  <si>
    <t>products.csv</t>
  </si>
  <si>
    <t>Products_Raw</t>
  </si>
  <si>
    <t>stores.csv</t>
  </si>
  <si>
    <t>inventory.csv</t>
  </si>
  <si>
    <t>calendar.csv</t>
  </si>
  <si>
    <t>data_dictionary.csv</t>
  </si>
  <si>
    <t>Stores_Raw</t>
  </si>
  <si>
    <t>Inventory_Raw</t>
  </si>
  <si>
    <t>Calendar_Raw</t>
  </si>
  <si>
    <t>DataDictionary_Raw</t>
  </si>
  <si>
    <t>Product_Category</t>
  </si>
  <si>
    <t>Toys</t>
  </si>
  <si>
    <t>Art &amp; Crafts</t>
  </si>
  <si>
    <t>Games</t>
  </si>
  <si>
    <t>Electronics</t>
  </si>
  <si>
    <t>Sports &amp; Outdoors</t>
  </si>
  <si>
    <t>Year</t>
  </si>
  <si>
    <t>Month_Number</t>
  </si>
  <si>
    <t>Month_Name</t>
  </si>
  <si>
    <t>Month_Start</t>
  </si>
  <si>
    <t>Year_Month</t>
  </si>
  <si>
    <t>Year_Month_Sort</t>
  </si>
  <si>
    <t>January</t>
  </si>
  <si>
    <t>2022-01</t>
  </si>
  <si>
    <t>February</t>
  </si>
  <si>
    <t>2022-02</t>
  </si>
  <si>
    <t>March</t>
  </si>
  <si>
    <t>2022-03</t>
  </si>
  <si>
    <t>April</t>
  </si>
  <si>
    <t>2022-04</t>
  </si>
  <si>
    <t>May</t>
  </si>
  <si>
    <t>2022-05</t>
  </si>
  <si>
    <t>June</t>
  </si>
  <si>
    <t>2022-06</t>
  </si>
  <si>
    <t>July</t>
  </si>
  <si>
    <t>2022-07</t>
  </si>
  <si>
    <t>August</t>
  </si>
  <si>
    <t>2022-08</t>
  </si>
  <si>
    <t>September</t>
  </si>
  <si>
    <t>2022-09</t>
  </si>
  <si>
    <t>October</t>
  </si>
  <si>
    <t>2022-10</t>
  </si>
  <si>
    <t>November</t>
  </si>
  <si>
    <t>2022-11</t>
  </si>
  <si>
    <t>December</t>
  </si>
  <si>
    <t>2022-12</t>
  </si>
  <si>
    <t>2023-01</t>
  </si>
  <si>
    <t>2023-02</t>
  </si>
  <si>
    <t>2023-03</t>
  </si>
  <si>
    <t>2023-04</t>
  </si>
  <si>
    <t>2023-05</t>
  </si>
  <si>
    <t>2023-06</t>
  </si>
  <si>
    <t>2023-07</t>
  </si>
  <si>
    <t>2023-08</t>
  </si>
  <si>
    <t>2023-09</t>
  </si>
  <si>
    <t>Sales_Revenue</t>
  </si>
  <si>
    <t>Total_Cost</t>
  </si>
  <si>
    <t>Gross_Profit</t>
  </si>
  <si>
    <t>Profit_Margin</t>
  </si>
  <si>
    <t>Units_Sold</t>
  </si>
  <si>
    <t>Transaction_Lines</t>
  </si>
  <si>
    <t>Monthly Category Actuals</t>
  </si>
  <si>
    <t>Analysis-ready monthly category totals derived from the complete sales transaction dataset.</t>
  </si>
  <si>
    <t>Source File</t>
  </si>
  <si>
    <t>Query</t>
  </si>
  <si>
    <t>Daily transaction lines</t>
  </si>
  <si>
    <t>Product and pricing information</t>
  </si>
  <si>
    <t>Store and location information</t>
  </si>
  <si>
    <t>Store-product inventoryt</t>
  </si>
  <si>
    <t>Continuous date list</t>
  </si>
  <si>
    <t>Dataset field definitions</t>
  </si>
  <si>
    <t>Imported; field and Sale_ID checks passed</t>
  </si>
  <si>
    <t>Imported; field checks passed</t>
  </si>
  <si>
    <t>Imported; calendar checks passed</t>
  </si>
  <si>
    <t>Visually reviewed</t>
  </si>
  <si>
    <t>The source files were imported through Power Query and preserved as connection-only queries. Initial field-specific checks returned no flagged rows. Calendar checks identified no blank dates, repeated dates or missing days. The duplicate Sale_ID check returned no duplicates, distinct Sales Product_ID values matched Products_Raw, and the data dictionary was visually reviewed. Other duplicate-key and cross-table matching checks are not recorded as completed unless separately confirmed.</t>
  </si>
  <si>
    <t>Dataset Source</t>
  </si>
  <si>
    <t>Mexico Toy Sales — Maven Analytics</t>
  </si>
  <si>
    <t>Forecast and Budget Assumptions</t>
  </si>
  <si>
    <t>Selected Scenario</t>
  </si>
  <si>
    <t>Expected Case</t>
  </si>
  <si>
    <t>Selected Sales Growth</t>
  </si>
  <si>
    <t>Selected Cost Change</t>
  </si>
  <si>
    <t>Scenario</t>
  </si>
  <si>
    <t>Sales Growth</t>
  </si>
  <si>
    <t>Cost Change</t>
  </si>
  <si>
    <t>Best Case</t>
  </si>
  <si>
    <t>Worst Case</t>
  </si>
  <si>
    <t>Category</t>
  </si>
  <si>
    <t>Budget Growth Target</t>
  </si>
  <si>
    <t>Assumption</t>
  </si>
  <si>
    <t>Target Profit Margin</t>
  </si>
  <si>
    <t>Low Stock Threshold</t>
  </si>
  <si>
    <t>Budget Year</t>
  </si>
  <si>
    <t>Value</t>
  </si>
  <si>
    <t>Prior_Year_Sales</t>
  </si>
  <si>
    <t>Growth_Target</t>
  </si>
  <si>
    <t>Budgeted_Sales</t>
  </si>
  <si>
    <t>Actual_Sales</t>
  </si>
  <si>
    <t>Sales_Variance</t>
  </si>
  <si>
    <t>Sales_Variance_Pct</t>
  </si>
  <si>
    <t>Budgeted_Profit</t>
  </si>
  <si>
    <t>Actual_Profit</t>
  </si>
  <si>
    <t>Profit_Variance</t>
  </si>
  <si>
    <t>January–September 2023 Budget Performance</t>
  </si>
  <si>
    <t>Actual Sales</t>
  </si>
  <si>
    <t>Budgeted Sales</t>
  </si>
  <si>
    <t>Sales Variance</t>
  </si>
  <si>
    <t>Sales Variance %</t>
  </si>
  <si>
    <t>Actual Profit</t>
  </si>
  <si>
    <t>Budgeted Profit</t>
  </si>
  <si>
    <t>Forecast_Month</t>
  </si>
  <si>
    <t>Baseline_Sales</t>
  </si>
  <si>
    <t>Selected_Growth</t>
  </si>
  <si>
    <t>Forecasted_Sales</t>
  </si>
  <si>
    <t>Baseline_Cost</t>
  </si>
  <si>
    <t>Cost_Change</t>
  </si>
  <si>
    <t>Forecasted_Cost</t>
  </si>
  <si>
    <t>Forecasted_Profit</t>
  </si>
  <si>
    <t>Forecasted_Margin</t>
  </si>
  <si>
    <t>October–December 2023 Scenario Forecast</t>
  </si>
  <si>
    <t>Forecasted Sales</t>
  </si>
  <si>
    <t>Forecasted Cost</t>
  </si>
  <si>
    <t>Forecasted Profit</t>
  </si>
  <si>
    <t>Forecasted Margin</t>
  </si>
  <si>
    <t>Row Labels</t>
  </si>
  <si>
    <t>Grand Total</t>
  </si>
  <si>
    <t>Total Sales</t>
  </si>
  <si>
    <t>Gross Profit</t>
  </si>
  <si>
    <t>Profit Margin</t>
  </si>
  <si>
    <t>Maven Toys Aguascalientes 1</t>
  </si>
  <si>
    <t>Maven Toys Campeche 1</t>
  </si>
  <si>
    <t>Maven Toys Campeche 2</t>
  </si>
  <si>
    <t>Maven Toys Chetumal 1</t>
  </si>
  <si>
    <t>Maven Toys Chihuahua 1</t>
  </si>
  <si>
    <t>Maven Toys Chihuahua 2</t>
  </si>
  <si>
    <t>Maven Toys Chilpancingo 1</t>
  </si>
  <si>
    <t>Maven Toys Ciudad de Mexico 1</t>
  </si>
  <si>
    <t>Maven Toys Ciudad de Mexico 2</t>
  </si>
  <si>
    <t>Maven Toys Ciudad de Mexico 3</t>
  </si>
  <si>
    <t>Maven Toys Ciudad de Mexico 4</t>
  </si>
  <si>
    <t>Maven Toys Ciudad Victoria 1</t>
  </si>
  <si>
    <t>Maven Toys Cuernavaca 1</t>
  </si>
  <si>
    <t>Maven Toys Culiacan 1</t>
  </si>
  <si>
    <t>Maven Toys Durango 1</t>
  </si>
  <si>
    <t>Maven Toys Guadalajara 1</t>
  </si>
  <si>
    <t>Maven Toys Guadalajara 2</t>
  </si>
  <si>
    <t>Maven Toys Guadalajara 3</t>
  </si>
  <si>
    <t>Maven Toys Guadalajara 4</t>
  </si>
  <si>
    <t>Maven Toys Guanajuato 1</t>
  </si>
  <si>
    <t>Maven Toys Guanajuato 2</t>
  </si>
  <si>
    <t>Maven Toys Guanajuato 3</t>
  </si>
  <si>
    <t>Maven Toys Hermosillo 1</t>
  </si>
  <si>
    <t>Maven Toys Hermosillo 2</t>
  </si>
  <si>
    <t>Maven Toys Hermosillo 3</t>
  </si>
  <si>
    <t>Maven Toys La Paz 1</t>
  </si>
  <si>
    <t>Maven Toys Merida 1</t>
  </si>
  <si>
    <t>Maven Toys Mexicali 1</t>
  </si>
  <si>
    <t>Maven Toys Mexicali 2</t>
  </si>
  <si>
    <t>Maven Toys Monterrey 1</t>
  </si>
  <si>
    <t>Maven Toys Monterrey 2</t>
  </si>
  <si>
    <t>Maven Toys Monterrey 3</t>
  </si>
  <si>
    <t>Maven Toys Monterrey 4</t>
  </si>
  <si>
    <t>Maven Toys Morelia 1</t>
  </si>
  <si>
    <t>Maven Toys Oaxaca 1</t>
  </si>
  <si>
    <t>Maven Toys Pachuca 1</t>
  </si>
  <si>
    <t>Maven Toys Puebla 1</t>
  </si>
  <si>
    <t>Maven Toys Puebla 2</t>
  </si>
  <si>
    <t>Maven Toys Puebla 3</t>
  </si>
  <si>
    <t>Maven Toys Saltillo 1</t>
  </si>
  <si>
    <t>Maven Toys Saltillo 2</t>
  </si>
  <si>
    <t>Maven Toys San Luis Potosi 1</t>
  </si>
  <si>
    <t>Maven Toys Santiago 1</t>
  </si>
  <si>
    <t>Maven Toys Toluca 1</t>
  </si>
  <si>
    <t>Maven Toys Toluca 2</t>
  </si>
  <si>
    <t>Maven Toys Tuxtla Gutierrez 1</t>
  </si>
  <si>
    <t>Maven Toys Villahermosa 1</t>
  </si>
  <si>
    <t>Maven Toys Xalapa 1</t>
  </si>
  <si>
    <t>Maven Toys Xalapa 2</t>
  </si>
  <si>
    <t>Maven Toys Zacatecas 1</t>
  </si>
  <si>
    <t>Action Figure</t>
  </si>
  <si>
    <t>Animal Figures</t>
  </si>
  <si>
    <t>Barrel O' Slime</t>
  </si>
  <si>
    <t>Chutes &amp; Ladders</t>
  </si>
  <si>
    <t>Classic Dominoes</t>
  </si>
  <si>
    <t>Colorbuds</t>
  </si>
  <si>
    <t>Dart Gun</t>
  </si>
  <si>
    <t>Deck Of Cards</t>
  </si>
  <si>
    <t>Dino Egg</t>
  </si>
  <si>
    <t>Dinosaur Figures</t>
  </si>
  <si>
    <t>Etch A Sketch</t>
  </si>
  <si>
    <t>Foam Disk Launcher</t>
  </si>
  <si>
    <t>Gamer Headphones</t>
  </si>
  <si>
    <t>Glass Marbles</t>
  </si>
  <si>
    <t>Hot Wheels 5-Pack</t>
  </si>
  <si>
    <t>Jenga</t>
  </si>
  <si>
    <t>Kids Makeup Kit</t>
  </si>
  <si>
    <t>Lego Bricks</t>
  </si>
  <si>
    <t>Magic Sand</t>
  </si>
  <si>
    <t>Mini Basketball Hoop</t>
  </si>
  <si>
    <t>Mini Ping Pong Set</t>
  </si>
  <si>
    <t>Monopoly</t>
  </si>
  <si>
    <t>Mr. Potatohead</t>
  </si>
  <si>
    <t>Nerf Gun</t>
  </si>
  <si>
    <t>PlayDoh Can</t>
  </si>
  <si>
    <t>PlayDoh Playset</t>
  </si>
  <si>
    <t>PlayDoh Toolkit</t>
  </si>
  <si>
    <t>Playfoam</t>
  </si>
  <si>
    <t>Plush Pony</t>
  </si>
  <si>
    <t>Rubik's Cube</t>
  </si>
  <si>
    <t>Splash Balls</t>
  </si>
  <si>
    <t>Supersoaker Water Gun</t>
  </si>
  <si>
    <t>Teddy Bear</t>
  </si>
  <si>
    <t>Toy Robot</t>
  </si>
  <si>
    <t>Uno Card Game</t>
  </si>
  <si>
    <t>Units Sold</t>
  </si>
  <si>
    <t>Aguascalientes</t>
  </si>
  <si>
    <t>Campeche</t>
  </si>
  <si>
    <t>Chetumal</t>
  </si>
  <si>
    <t>Chihuahua</t>
  </si>
  <si>
    <t>Chilpancingo</t>
  </si>
  <si>
    <t>Ciudad Victoria</t>
  </si>
  <si>
    <t>Cuernavaca</t>
  </si>
  <si>
    <t>Cuidad de Mexico</t>
  </si>
  <si>
    <t>Culiacan</t>
  </si>
  <si>
    <t>Durango</t>
  </si>
  <si>
    <t>Guadalajara</t>
  </si>
  <si>
    <t>Guanajuato</t>
  </si>
  <si>
    <t>Hermosillo</t>
  </si>
  <si>
    <t>La Paz</t>
  </si>
  <si>
    <t>Merida</t>
  </si>
  <si>
    <t>Mexicali</t>
  </si>
  <si>
    <t>Monterrey</t>
  </si>
  <si>
    <t>Morelia</t>
  </si>
  <si>
    <t>Oaxaca</t>
  </si>
  <si>
    <t>Pachuca</t>
  </si>
  <si>
    <t>Puebla</t>
  </si>
  <si>
    <t>Saltillo</t>
  </si>
  <si>
    <t>San Luis Potosi</t>
  </si>
  <si>
    <t>Santiago</t>
  </si>
  <si>
    <t>Toluca</t>
  </si>
  <si>
    <t>Tuxtla Gutierrez</t>
  </si>
  <si>
    <t>Villahermosa</t>
  </si>
  <si>
    <t>Xalapa</t>
  </si>
  <si>
    <t>Zacatecas</t>
  </si>
  <si>
    <t>Inventory Value</t>
  </si>
  <si>
    <t>Total Cost</t>
  </si>
  <si>
    <t>Transaction Count</t>
  </si>
  <si>
    <t>Sum of Actual_Sales</t>
  </si>
  <si>
    <t>Sum of Budgeted_Sales</t>
  </si>
  <si>
    <t>Sum of Forecasted_Sales</t>
  </si>
  <si>
    <t>Sum of Forecasted_Profit</t>
  </si>
  <si>
    <t>Retail Budget, Sales and Profit Forecasting Model</t>
  </si>
  <si>
    <t>Mexico Toy Sales | Actuals, Budget, Forecast and Inventory Analysis</t>
  </si>
  <si>
    <t>Forecast Scenario:</t>
  </si>
  <si>
    <t>Actual Sales — Selected Filters</t>
  </si>
  <si>
    <t>Budgeted Sales — Jan–Sep 2023</t>
  </si>
  <si>
    <t>Sales Variance — Jan–Sep 2023</t>
  </si>
  <si>
    <t>Gross Profit — Selected Filters</t>
  </si>
  <si>
    <t>Jan–Sep 2023 Budgeted Sales</t>
  </si>
  <si>
    <t>Jan–Sep 2023 Sales Variance</t>
  </si>
  <si>
    <t>Total Cost — Selected Filters</t>
  </si>
  <si>
    <t>Forecasted Sales — Oct–Dec 2023</t>
  </si>
  <si>
    <t>Forecasted Profit — Oct–Dec 2023</t>
  </si>
  <si>
    <t>Slicers filter connected actual-sales and inventory results. The budget comparison covers January–September 2023. The forecast covers October–December 2023 and uses the scenario selected on Assumptions. Refresh the forecast PivotTable after changing the scenario. Year does not filter the inventory snapshot.</t>
  </si>
  <si>
    <t>Workbook Instructions</t>
  </si>
  <si>
    <t>Project Purpose</t>
  </si>
  <si>
    <t>This workbook analyses historical sales, product, store and inventory data for a fictional Mexican toy-store chain. It compares actual performance against a modelled management budget and forecasts future sales, costs and profit under adjustable scenarios.</t>
  </si>
  <si>
    <t>How to Use the Workbook</t>
  </si>
  <si>
    <t>1. Refresh source data using Data → Refresh All. Allow the refresh to finish.</t>
  </si>
  <si>
    <t>2. On Assumptions, use the dropdown in B3 to select Expected Case, Best Case or Worst Case.</t>
  </si>
  <si>
    <t>3. After changing the scenario, refresh the forecast PivotTable on Analysis at X55: right-click a value → Refresh.</t>
  </si>
  <si>
    <t>4. Review the Budget and Forecast sheets for targets, assumptions and calculated results.</t>
  </si>
  <si>
    <t>5. Use the Dashboard slicers to explore the connected historical sales and inventory results.</t>
  </si>
  <si>
    <t>6. Use the Analysis sheet to review supporting PivotTables and detailed results.</t>
  </si>
  <si>
    <t>Important Definitions</t>
  </si>
  <si>
    <t>Sales Revenue = Units × Product Price.</t>
  </si>
  <si>
    <t>Total Cost = Units × Product Cost.</t>
  </si>
  <si>
    <t>Gross Profit = Sales Revenue − Total Cost.</t>
  </si>
  <si>
    <t>Profit Margin = Gross Profit ÷ Sales Revenue, expressed as a percentage.</t>
  </si>
  <si>
    <t>Inventory Value = Stock on Hand × Product Cost.</t>
  </si>
  <si>
    <t>Budget = Prior-year comparable sales adjusted by the category target.</t>
  </si>
  <si>
    <t>Forecast = Historical baseline adjusted by the selected growth and cost assumptions.</t>
  </si>
  <si>
    <t>Important Limitations</t>
  </si>
  <si>
    <t>The source dataset does not include an official company budget. Budget figures in this workbook are transparent modelled targets based on comparable historical sales and editable growth assumptions.</t>
  </si>
  <si>
    <t>Forecasts are estimates, not guaranteed outcomes. They depend on historical patterns and the selected sales-growth and cost-change assumptions. Actual results may differ because of changes in demand, prices, costs, stock availability and other business conditions.</t>
  </si>
  <si>
    <t>Dashboard Filters and Reporting Periods</t>
  </si>
  <si>
    <t>Slicers affect only their connected PivotTables, charts and KPI cards. Year filters historical sales but does not filter the inventory snapshot. Connected Product Category and Store Location slicers filter sales and inventory. The Actual Sales vs Budget chart covers January–September 2023 and is not controlled by these slicers. The Selected Scenario Forecast chart covers October–December 2023 and uses the scenario selected in Assumptions!B3. Refresh its supporting PivotTable after changing the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</si>
</sst>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_);_(* \(#,##0\);_(* &quot;-&quot;??_);_(@_)"/>
    <numFmt numFmtId="165" formatCode="mmm\ yyyy"/>
    <numFmt numFmtId="166" formatCode="[$$-409]#,##0.00;[Red][$$-409]#,##0.00"/>
    <numFmt numFmtId="167" formatCode="_([$$-409]* #,##0.00_);_([$$-409]* \(#,##0.00\);_([$$-409]* &quot;-&quot;??_);_(@_)"/>
    <numFmt numFmtId="168" formatCode="&quot;$&quot;#,##0.00"/>
    <numFmt numFmtId="169" formatCode="\$#,##0.00;\(\$#,##0.00\);\$#,##0.00"/>
    <numFmt numFmtId="170" formatCode="0.00%;\-0.00%;0.00%"/>
    <numFmt numFmtId="171" formatCode="_(* #,##0.0_);_(* \(#,##0.0\);_(* &quot;-&quot;??_);_(@_)"/>
    <numFmt numFmtId="181" formatCode="0.0%"/>
    <numFmt numFmtId="182" formatCode="&quot;$&quot;#,##0;[Red]\(&quot;$&quot;#,##0\)"/>
  </numFmts>
  <fonts count="14"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color theme="0"/>
      <name val="Calibri"/>
      <family val="2"/>
      <scheme val="minor"/>
    </font>
    <font>
      <b/>
      <sz val="20"/>
      <color theme="0"/>
      <name val="Calibri"/>
      <family val="2"/>
      <scheme val="minor"/>
    </font>
    <font>
      <sz val="10"/>
      <color theme="1"/>
      <name val="Calibri"/>
      <family val="2"/>
      <scheme val="minor"/>
    </font>
    <font>
      <b/>
      <sz val="10"/>
      <color theme="1"/>
      <name val="Calibri"/>
      <family val="2"/>
      <scheme val="minor"/>
    </font>
    <font>
      <b/>
      <sz val="20"/>
      <color theme="4" tint="-0.249977111117893"/>
      <name val="Calibri"/>
      <family val="2"/>
      <scheme val="minor"/>
    </font>
    <font>
      <b/>
      <sz val="20"/>
      <color theme="9"/>
      <name val="Calibri"/>
      <family val="2"/>
      <scheme val="minor"/>
    </font>
    <font>
      <b/>
      <sz val="20"/>
      <color theme="4"/>
      <name val="Calibri"/>
      <family val="2"/>
      <scheme val="minor"/>
    </font>
    <font>
      <b/>
      <sz val="20"/>
      <color theme="2" tint="-0.499984740745262"/>
      <name val="Calibri"/>
      <family val="2"/>
      <scheme val="minor"/>
    </font>
    <font>
      <sz val="10"/>
      <color theme="3" tint="-0.249977111117893"/>
      <name val="Calibri"/>
      <family val="2"/>
      <scheme val="minor"/>
    </font>
    <font>
      <b/>
      <sz val="12"/>
      <color theme="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
      <patternFill patternType="solid">
        <fgColor theme="4" tint="-0.499984740745262"/>
        <bgColor indexed="64"/>
      </patternFill>
    </fill>
    <fill>
      <patternFill patternType="solid">
        <fgColor theme="0"/>
        <bgColor indexed="64"/>
      </patternFill>
    </fill>
  </fills>
  <borders count="1">
    <border>
      <left/>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cellStyleXfs>
  <cellXfs count="53">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vertical="center" wrapText="1"/>
    </xf>
    <xf numFmtId="14" fontId="0" fillId="0" borderId="0" xfId="0" applyNumberFormat="1"/>
    <xf numFmtId="164" fontId="0" fillId="0" borderId="0" xfId="1" applyNumberFormat="1" applyFont="1" applyAlignment="1">
      <alignment horizontal="center" vertical="center" wrapText="1"/>
    </xf>
    <xf numFmtId="164" fontId="0" fillId="0" borderId="0" xfId="1" applyNumberFormat="1" applyFont="1" applyAlignment="1">
      <alignment horizontal="left" vertical="center" wrapText="1"/>
    </xf>
    <xf numFmtId="9" fontId="0" fillId="0" borderId="0" xfId="0" applyNumberFormat="1"/>
    <xf numFmtId="9" fontId="0" fillId="0" borderId="0" xfId="2" applyFont="1"/>
    <xf numFmtId="0" fontId="2" fillId="0" borderId="0" xfId="0" applyFont="1"/>
    <xf numFmtId="165" fontId="0" fillId="0" borderId="0" xfId="0" applyNumberFormat="1"/>
    <xf numFmtId="166" fontId="0" fillId="0" borderId="0" xfId="1" applyNumberFormat="1" applyFont="1"/>
    <xf numFmtId="167" fontId="0" fillId="0" borderId="0" xfId="0" applyNumberFormat="1"/>
    <xf numFmtId="10" fontId="0" fillId="0" borderId="0" xfId="2" applyNumberFormat="1" applyFont="1"/>
    <xf numFmtId="166" fontId="0" fillId="0" borderId="0" xfId="0" applyNumberFormat="1"/>
    <xf numFmtId="168" fontId="0" fillId="0" borderId="0" xfId="0" applyNumberFormat="1"/>
    <xf numFmtId="0" fontId="0" fillId="0" borderId="0" xfId="0" applyAlignment="1">
      <alignment horizontal="center"/>
    </xf>
    <xf numFmtId="166" fontId="0" fillId="0" borderId="0" xfId="0" applyNumberFormat="1" applyAlignment="1">
      <alignment horizontal="center"/>
    </xf>
    <xf numFmtId="168" fontId="0" fillId="0" borderId="0" xfId="0" applyNumberFormat="1" applyAlignment="1">
      <alignment horizontal="center"/>
    </xf>
    <xf numFmtId="0" fontId="0" fillId="0" borderId="0" xfId="0" pivotButton="1"/>
    <xf numFmtId="0" fontId="0" fillId="0" borderId="0" xfId="0" applyAlignment="1">
      <alignment horizontal="left"/>
    </xf>
    <xf numFmtId="169" fontId="0" fillId="0" borderId="0" xfId="0" applyNumberFormat="1"/>
    <xf numFmtId="170" fontId="0" fillId="0" borderId="0" xfId="0" applyNumberFormat="1"/>
    <xf numFmtId="171" fontId="0" fillId="0" borderId="0" xfId="0" applyNumberFormat="1"/>
    <xf numFmtId="164" fontId="0" fillId="0" borderId="0" xfId="0" applyNumberFormat="1"/>
    <xf numFmtId="0" fontId="0" fillId="0" borderId="0" xfId="0" applyAlignment="1">
      <alignment horizontal="left" vertical="top" wrapText="1"/>
    </xf>
    <xf numFmtId="0" fontId="3" fillId="0" borderId="0" xfId="3" applyAlignment="1"/>
    <xf numFmtId="165" fontId="0" fillId="0" borderId="0" xfId="0" applyNumberFormat="1" applyAlignment="1">
      <alignment horizontal="left"/>
    </xf>
    <xf numFmtId="0" fontId="0" fillId="0" borderId="0" xfId="0" applyNumberFormat="1"/>
    <xf numFmtId="0" fontId="0" fillId="2" borderId="0" xfId="0" applyFill="1"/>
    <xf numFmtId="0" fontId="0" fillId="2" borderId="0" xfId="0" applyFill="1" applyAlignment="1">
      <alignment horizontal="center"/>
    </xf>
    <xf numFmtId="0" fontId="0" fillId="3" borderId="0" xfId="0" applyFill="1" applyAlignment="1">
      <alignment horizontal="center"/>
    </xf>
    <xf numFmtId="0" fontId="5" fillId="3" borderId="0" xfId="0" applyFont="1" applyFill="1" applyAlignment="1">
      <alignment horizontal="center"/>
    </xf>
    <xf numFmtId="0" fontId="4" fillId="4" borderId="0" xfId="0" applyFont="1" applyFill="1" applyAlignment="1">
      <alignment horizontal="center"/>
    </xf>
    <xf numFmtId="0" fontId="0" fillId="4" borderId="0" xfId="0" applyFill="1" applyAlignment="1">
      <alignment horizontal="center"/>
    </xf>
    <xf numFmtId="0" fontId="7" fillId="5" borderId="0" xfId="0" applyFont="1" applyFill="1" applyAlignment="1">
      <alignment horizontal="center" wrapText="1"/>
    </xf>
    <xf numFmtId="0" fontId="0" fillId="5" borderId="0" xfId="0" applyFill="1" applyAlignment="1">
      <alignment horizontal="center" wrapText="1"/>
    </xf>
    <xf numFmtId="0" fontId="6" fillId="2" borderId="0" xfId="0" applyFont="1" applyFill="1" applyAlignment="1">
      <alignment horizontal="center" wrapText="1"/>
    </xf>
    <xf numFmtId="0" fontId="0" fillId="0" borderId="0" xfId="0" applyAlignment="1"/>
    <xf numFmtId="168" fontId="0" fillId="0" borderId="0" xfId="0" applyNumberFormat="1" applyAlignment="1"/>
    <xf numFmtId="0" fontId="2" fillId="0" borderId="0" xfId="0" applyFont="1" applyAlignment="1">
      <alignment horizontal="center"/>
    </xf>
    <xf numFmtId="0" fontId="2" fillId="0" borderId="0" xfId="0" applyFont="1" applyAlignment="1"/>
    <xf numFmtId="182" fontId="8" fillId="5" borderId="0" xfId="0" applyNumberFormat="1" applyFont="1" applyFill="1" applyAlignment="1">
      <alignment horizontal="center" vertical="center"/>
    </xf>
    <xf numFmtId="182" fontId="9" fillId="5" borderId="0" xfId="0" applyNumberFormat="1" applyFont="1" applyFill="1" applyAlignment="1">
      <alignment horizontal="center" vertical="center"/>
    </xf>
    <xf numFmtId="182" fontId="10" fillId="5" borderId="0" xfId="0" applyNumberFormat="1" applyFont="1" applyFill="1" applyAlignment="1">
      <alignment horizontal="center" vertical="center"/>
    </xf>
    <xf numFmtId="182" fontId="11" fillId="5" borderId="0" xfId="0" applyNumberFormat="1" applyFont="1" applyFill="1" applyAlignment="1">
      <alignment horizontal="center" vertical="center"/>
    </xf>
    <xf numFmtId="181" fontId="9" fillId="5" borderId="0" xfId="2" applyNumberFormat="1" applyFont="1" applyFill="1" applyAlignment="1">
      <alignment horizontal="center"/>
    </xf>
    <xf numFmtId="0" fontId="12" fillId="2" borderId="0" xfId="0" applyFont="1" applyFill="1" applyAlignment="1">
      <alignment horizontal="center" wrapText="1"/>
    </xf>
    <xf numFmtId="0" fontId="5" fillId="4" borderId="0" xfId="0" applyFont="1" applyFill="1" applyAlignment="1">
      <alignment horizontal="center" vertical="center"/>
    </xf>
    <xf numFmtId="0" fontId="2" fillId="4" borderId="0" xfId="0" applyFont="1" applyFill="1" applyAlignment="1">
      <alignment horizontal="center"/>
    </xf>
    <xf numFmtId="0" fontId="13" fillId="4" borderId="0" xfId="0" applyFont="1" applyFill="1" applyAlignment="1">
      <alignment horizontal="center"/>
    </xf>
    <xf numFmtId="0" fontId="0" fillId="0" borderId="0" xfId="0" applyAlignment="1">
      <alignment horizontal="left" vertical="center" wrapText="1"/>
    </xf>
    <xf numFmtId="0" fontId="0" fillId="0" borderId="0" xfId="0" applyAlignment="1">
      <alignment horizontal="left" wrapText="1"/>
    </xf>
  </cellXfs>
  <cellStyles count="4">
    <cellStyle name="Comma" xfId="1" builtinId="3"/>
    <cellStyle name="Hyperlink" xfId="3" builtinId="8"/>
    <cellStyle name="Normal" xfId="0" builtinId="0"/>
    <cellStyle name="Percent" xfId="2" builtinId="5"/>
  </cellStyles>
  <dxfs count="44">
    <dxf>
      <font>
        <color rgb="FF9C0006"/>
      </font>
    </dxf>
    <dxf>
      <numFmt numFmtId="171" formatCode="_(* #,##0.0_);_(* \(#,##0.0\);_(* &quot;-&quot;??_);_(@_)"/>
    </dxf>
    <dxf>
      <numFmt numFmtId="164" formatCode="_(* #,##0_);_(* \(#,##0\);_(* &quot;-&quot;??_);_(@_)"/>
    </dxf>
    <dxf>
      <numFmt numFmtId="164" formatCode="_(* #,##0_);_(* \(#,##0\);_(* &quot;-&quot;??_);_(@_)"/>
    </dxf>
    <dxf>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numFmt numFmtId="164" formatCode="_(* #,##0_);_(* \(#,##0\);_(* &quot;-&quot;??_);_(@_)"/>
      <alignment horizontal="lef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numFmt numFmtId="0" formatCode="General"/>
    </dxf>
    <dxf>
      <numFmt numFmtId="19" formatCode="m/d/yyyy"/>
    </dxf>
    <dxf>
      <numFmt numFmtId="0" formatCode="General"/>
    </dxf>
    <dxf>
      <numFmt numFmtId="0" formatCode="General"/>
    </dxf>
    <dxf>
      <numFmt numFmtId="14" formatCode="0.00%"/>
    </dxf>
    <dxf>
      <numFmt numFmtId="168" formatCode="&quot;$&quot;#,##0.00"/>
    </dxf>
    <dxf>
      <numFmt numFmtId="168" formatCode="&quot;$&quot;#,##0.00"/>
    </dxf>
    <dxf>
      <numFmt numFmtId="13" formatCode="0%"/>
    </dxf>
    <dxf>
      <numFmt numFmtId="0" formatCode="General"/>
    </dxf>
    <dxf>
      <numFmt numFmtId="168" formatCode="&quot;$&quot;#,##0.00"/>
    </dxf>
    <dxf>
      <numFmt numFmtId="13" formatCode="0%"/>
    </dxf>
    <dxf>
      <numFmt numFmtId="168" formatCode="&quot;$&quot;#,##0.00"/>
    </dxf>
    <dxf>
      <numFmt numFmtId="165" formatCode="mmm\ yyyy"/>
    </dxf>
    <dxf>
      <numFmt numFmtId="168" formatCode="&quot;$&quot;#,##0.00"/>
    </dxf>
    <dxf>
      <numFmt numFmtId="167" formatCode="_([$$-409]* #,##0.00_);_([$$-409]* \(#,##0.00\);_([$$-409]* &quot;-&quot;??_);_(@_)"/>
    </dxf>
    <dxf>
      <numFmt numFmtId="166" formatCode="[$$-409]#,##0.00;[Red][$$-409]#,##0.00"/>
    </dxf>
    <dxf>
      <numFmt numFmtId="0" formatCode="General"/>
    </dxf>
    <dxf>
      <numFmt numFmtId="14" formatCode="0.00%"/>
    </dxf>
    <dxf>
      <numFmt numFmtId="168" formatCode="&quot;$&quot;#,##0.00"/>
    </dxf>
    <dxf>
      <numFmt numFmtId="167" formatCode="_([$$-409]* #,##0.00_);_([$$-409]* \(#,##0.00\);_([$$-409]* &quot;-&quot;??_);_(@_)"/>
    </dxf>
    <dxf>
      <numFmt numFmtId="166" formatCode="[$$-409]#,##0.00;[Red][$$-409]#,##0.00"/>
    </dxf>
    <dxf>
      <numFmt numFmtId="166" formatCode="[$$-409]#,##0.00;[Red][$$-409]#,##0.00"/>
    </dxf>
    <dxf>
      <numFmt numFmtId="165" formatCode="mmm\ yyyy"/>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numFmt numFmtId="13" formatCode="0%"/>
    </dxf>
    <dxf>
      <numFmt numFmtId="13" formatCode="0%"/>
    </dxf>
    <dxf>
      <numFmt numFmtId="1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pivotCacheDefinition" Target="pivotCache/pivotCacheDefinition4.xml"/><Relationship Id="rId26" Type="http://schemas.openxmlformats.org/officeDocument/2006/relationships/pivotCacheDefinition" Target="pivotCache/pivotCacheDefinition12.xml"/><Relationship Id="rId39" Type="http://schemas.openxmlformats.org/officeDocument/2006/relationships/customXml" Target="../customXml/item3.xml"/><Relationship Id="rId21" Type="http://schemas.openxmlformats.org/officeDocument/2006/relationships/pivotCacheDefinition" Target="pivotCache/pivotCacheDefinition7.xml"/><Relationship Id="rId34" Type="http://schemas.openxmlformats.org/officeDocument/2006/relationships/sharedStrings" Target="sharedStrings.xml"/><Relationship Id="rId42" Type="http://schemas.openxmlformats.org/officeDocument/2006/relationships/customXml" Target="../customXml/item6.xml"/><Relationship Id="rId47" Type="http://schemas.openxmlformats.org/officeDocument/2006/relationships/customXml" Target="../customXml/item11.xml"/><Relationship Id="rId50" Type="http://schemas.openxmlformats.org/officeDocument/2006/relationships/customXml" Target="../customXml/item14.xml"/><Relationship Id="rId55" Type="http://schemas.openxmlformats.org/officeDocument/2006/relationships/customXml" Target="../customXml/item19.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9" Type="http://schemas.microsoft.com/office/2007/relationships/slicerCache" Target="slicerCaches/slicerCache3.xml"/><Relationship Id="rId11" Type="http://schemas.openxmlformats.org/officeDocument/2006/relationships/worksheet" Target="worksheets/sheet11.xml"/><Relationship Id="rId24" Type="http://schemas.openxmlformats.org/officeDocument/2006/relationships/pivotCacheDefinition" Target="pivotCache/pivotCacheDefinition10.xml"/><Relationship Id="rId32" Type="http://schemas.openxmlformats.org/officeDocument/2006/relationships/connections" Target="connections.xml"/><Relationship Id="rId37" Type="http://schemas.openxmlformats.org/officeDocument/2006/relationships/customXml" Target="../customXml/item1.xml"/><Relationship Id="rId40" Type="http://schemas.openxmlformats.org/officeDocument/2006/relationships/customXml" Target="../customXml/item4.xml"/><Relationship Id="rId45" Type="http://schemas.openxmlformats.org/officeDocument/2006/relationships/customXml" Target="../customXml/item9.xml"/><Relationship Id="rId53" Type="http://schemas.openxmlformats.org/officeDocument/2006/relationships/customXml" Target="../customXml/item17.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pivotCacheDefinition" Target="pivotCache/pivotCacheDefinition5.xml"/><Relationship Id="rId31" Type="http://schemas.openxmlformats.org/officeDocument/2006/relationships/theme" Target="theme/theme1.xml"/><Relationship Id="rId44" Type="http://schemas.openxmlformats.org/officeDocument/2006/relationships/customXml" Target="../customXml/item8.xml"/><Relationship Id="rId52" Type="http://schemas.openxmlformats.org/officeDocument/2006/relationships/customXml" Target="../customXml/item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8.xml"/><Relationship Id="rId27" Type="http://schemas.microsoft.com/office/2007/relationships/slicerCache" Target="slicerCaches/slicerCache1.xml"/><Relationship Id="rId30" Type="http://schemas.microsoft.com/office/2007/relationships/slicerCache" Target="slicerCaches/slicerCache4.xml"/><Relationship Id="rId35" Type="http://schemas.openxmlformats.org/officeDocument/2006/relationships/powerPivotData" Target="model/item.data"/><Relationship Id="rId43" Type="http://schemas.openxmlformats.org/officeDocument/2006/relationships/customXml" Target="../customXml/item7.xml"/><Relationship Id="rId48" Type="http://schemas.openxmlformats.org/officeDocument/2006/relationships/customXml" Target="../customXml/item12.xml"/><Relationship Id="rId56" Type="http://schemas.openxmlformats.org/officeDocument/2006/relationships/customXml" Target="../customXml/item20.xml"/><Relationship Id="rId8" Type="http://schemas.openxmlformats.org/officeDocument/2006/relationships/worksheet" Target="worksheets/sheet8.xml"/><Relationship Id="rId51" Type="http://schemas.openxmlformats.org/officeDocument/2006/relationships/customXml" Target="../customXml/item1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5" Type="http://schemas.openxmlformats.org/officeDocument/2006/relationships/pivotCacheDefinition" Target="pivotCache/pivotCacheDefinition11.xml"/><Relationship Id="rId33" Type="http://schemas.openxmlformats.org/officeDocument/2006/relationships/styles" Target="styles.xml"/><Relationship Id="rId38" Type="http://schemas.openxmlformats.org/officeDocument/2006/relationships/customXml" Target="../customXml/item2.xml"/><Relationship Id="rId46" Type="http://schemas.openxmlformats.org/officeDocument/2006/relationships/customXml" Target="../customXml/item10.xml"/><Relationship Id="rId20" Type="http://schemas.openxmlformats.org/officeDocument/2006/relationships/pivotCacheDefinition" Target="pivotCache/pivotCacheDefinition6.xml"/><Relationship Id="rId41" Type="http://schemas.openxmlformats.org/officeDocument/2006/relationships/customXml" Target="../customXml/item5.xml"/><Relationship Id="rId54" Type="http://schemas.openxmlformats.org/officeDocument/2006/relationships/customXml" Target="../customXml/item1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1.xml"/><Relationship Id="rId23" Type="http://schemas.openxmlformats.org/officeDocument/2006/relationships/pivotCacheDefinition" Target="pivotCache/pivotCacheDefinition9.xml"/><Relationship Id="rId28" Type="http://schemas.microsoft.com/office/2007/relationships/slicerCache" Target="slicerCaches/slicerCache2.xml"/><Relationship Id="rId36" Type="http://schemas.openxmlformats.org/officeDocument/2006/relationships/calcChain" Target="calcChain.xml"/><Relationship Id="rId49" Type="http://schemas.openxmlformats.org/officeDocument/2006/relationships/customXml" Target="../customXml/item1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[Retail_Budget_Sales_Profit_Forecasting_Model.xlsx]Analysis!pvtActualVsBudgetChart</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Actual Sales vs Budget</a:t>
            </a:r>
          </a:p>
          <a:p>
            <a:pPr>
              <a:defRPr/>
            </a:pPr>
            <a:endParaRPr lang="en-US"/>
          </a:p>
        </c:rich>
      </c:tx>
      <c:layout>
        <c:manualLayout>
          <c:xMode val="edge"/>
          <c:yMode val="edge"/>
          <c:x val="0.31334011373578308"/>
          <c:y val="3.24074074074074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3"/>
          </a:solidFill>
          <a:ln>
            <a:solidFill>
              <a:schemeClr val="accent3"/>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3"/>
          </a:solidFill>
          <a:ln>
            <a:solidFill>
              <a:schemeClr val="accent3"/>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3"/>
          </a:solidFill>
          <a:ln>
            <a:solidFill>
              <a:schemeClr val="accent3"/>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Analysis!$Y$40</c:f>
              <c:strCache>
                <c:ptCount val="1"/>
                <c:pt idx="0">
                  <c:v>Sum of Actual_Sales</c:v>
                </c:pt>
              </c:strCache>
            </c:strRef>
          </c:tx>
          <c:spPr>
            <a:solidFill>
              <a:schemeClr val="accent1"/>
            </a:solidFill>
            <a:ln>
              <a:noFill/>
            </a:ln>
            <a:effectLst/>
          </c:spPr>
          <c:invertIfNegative val="0"/>
          <c:cat>
            <c:strRef>
              <c:f>Analysis!$X$41:$X$50</c:f>
              <c:strCache>
                <c:ptCount val="9"/>
                <c:pt idx="0">
                  <c:v>Jan 2023</c:v>
                </c:pt>
                <c:pt idx="1">
                  <c:v>Feb 2023</c:v>
                </c:pt>
                <c:pt idx="2">
                  <c:v>Mar 2023</c:v>
                </c:pt>
                <c:pt idx="3">
                  <c:v>Apr 2023</c:v>
                </c:pt>
                <c:pt idx="4">
                  <c:v>May 2023</c:v>
                </c:pt>
                <c:pt idx="5">
                  <c:v>Jun 2023</c:v>
                </c:pt>
                <c:pt idx="6">
                  <c:v>Jul 2023</c:v>
                </c:pt>
                <c:pt idx="7">
                  <c:v>Aug 2023</c:v>
                </c:pt>
                <c:pt idx="8">
                  <c:v>Sep 2023</c:v>
                </c:pt>
              </c:strCache>
            </c:strRef>
          </c:cat>
          <c:val>
            <c:numRef>
              <c:f>Analysis!$Y$41:$Y$50</c:f>
              <c:numCache>
                <c:formatCode>General</c:formatCode>
                <c:ptCount val="9"/>
                <c:pt idx="0">
                  <c:v>747196.21999999671</c:v>
                </c:pt>
                <c:pt idx="1">
                  <c:v>722632.18999999575</c:v>
                </c:pt>
                <c:pt idx="2">
                  <c:v>883515.63999998011</c:v>
                </c:pt>
                <c:pt idx="3">
                  <c:v>827691.06999998935</c:v>
                </c:pt>
                <c:pt idx="4">
                  <c:v>825319.4899999625</c:v>
                </c:pt>
                <c:pt idx="5">
                  <c:v>808299.24999996321</c:v>
                </c:pt>
                <c:pt idx="6">
                  <c:v>828348.85999996448</c:v>
                </c:pt>
                <c:pt idx="7">
                  <c:v>660877.06999999518</c:v>
                </c:pt>
                <c:pt idx="8">
                  <c:v>658194.47999997868</c:v>
                </c:pt>
              </c:numCache>
            </c:numRef>
          </c:val>
          <c:extLst>
            <c:ext xmlns:c16="http://schemas.microsoft.com/office/drawing/2014/chart" uri="{C3380CC4-5D6E-409C-BE32-E72D297353CC}">
              <c16:uniqueId val="{00000000-E83B-4056-93E8-4B8BD3549662}"/>
            </c:ext>
          </c:extLst>
        </c:ser>
        <c:ser>
          <c:idx val="1"/>
          <c:order val="1"/>
          <c:tx>
            <c:strRef>
              <c:f>Analysis!$Z$40</c:f>
              <c:strCache>
                <c:ptCount val="1"/>
                <c:pt idx="0">
                  <c:v>Sum of Budgeted_Sales</c:v>
                </c:pt>
              </c:strCache>
            </c:strRef>
          </c:tx>
          <c:spPr>
            <a:solidFill>
              <a:schemeClr val="accent3"/>
            </a:solidFill>
            <a:ln>
              <a:solidFill>
                <a:schemeClr val="accent3"/>
              </a:solidFill>
            </a:ln>
            <a:effectLst/>
          </c:spPr>
          <c:invertIfNegative val="0"/>
          <c:cat>
            <c:strRef>
              <c:f>Analysis!$X$41:$X$50</c:f>
              <c:strCache>
                <c:ptCount val="9"/>
                <c:pt idx="0">
                  <c:v>Jan 2023</c:v>
                </c:pt>
                <c:pt idx="1">
                  <c:v>Feb 2023</c:v>
                </c:pt>
                <c:pt idx="2">
                  <c:v>Mar 2023</c:v>
                </c:pt>
                <c:pt idx="3">
                  <c:v>Apr 2023</c:v>
                </c:pt>
                <c:pt idx="4">
                  <c:v>May 2023</c:v>
                </c:pt>
                <c:pt idx="5">
                  <c:v>Jun 2023</c:v>
                </c:pt>
                <c:pt idx="6">
                  <c:v>Jul 2023</c:v>
                </c:pt>
                <c:pt idx="7">
                  <c:v>Aug 2023</c:v>
                </c:pt>
                <c:pt idx="8">
                  <c:v>Sep 2023</c:v>
                </c:pt>
              </c:strCache>
            </c:strRef>
          </c:cat>
          <c:val>
            <c:numRef>
              <c:f>Analysis!$Z$41:$Z$50</c:f>
              <c:numCache>
                <c:formatCode>General</c:formatCode>
                <c:ptCount val="9"/>
                <c:pt idx="0">
                  <c:v>585959.30280000635</c:v>
                </c:pt>
                <c:pt idx="1">
                  <c:v>584659.78200000688</c:v>
                </c:pt>
                <c:pt idx="2">
                  <c:v>636644.00519998756</c:v>
                </c:pt>
                <c:pt idx="3">
                  <c:v>735558.8183999859</c:v>
                </c:pt>
                <c:pt idx="4">
                  <c:v>726159.49199996726</c:v>
                </c:pt>
                <c:pt idx="5">
                  <c:v>714938.63759999163</c:v>
                </c:pt>
                <c:pt idx="6">
                  <c:v>600516.96840003971</c:v>
                </c:pt>
                <c:pt idx="7">
                  <c:v>528576.54840002465</c:v>
                </c:pt>
                <c:pt idx="8">
                  <c:v>632711.56319998554</c:v>
                </c:pt>
              </c:numCache>
            </c:numRef>
          </c:val>
          <c:extLst>
            <c:ext xmlns:c16="http://schemas.microsoft.com/office/drawing/2014/chart" uri="{C3380CC4-5D6E-409C-BE32-E72D297353CC}">
              <c16:uniqueId val="{00000001-E83B-4056-93E8-4B8BD3549662}"/>
            </c:ext>
          </c:extLst>
        </c:ser>
        <c:dLbls>
          <c:showLegendKey val="0"/>
          <c:showVal val="0"/>
          <c:showCatName val="0"/>
          <c:showSerName val="0"/>
          <c:showPercent val="0"/>
          <c:showBubbleSize val="0"/>
        </c:dLbls>
        <c:gapWidth val="219"/>
        <c:overlap val="-27"/>
        <c:axId val="1389214735"/>
        <c:axId val="1389216815"/>
      </c:barChart>
      <c:catAx>
        <c:axId val="1389214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9216815"/>
        <c:crosses val="autoZero"/>
        <c:auto val="1"/>
        <c:lblAlgn val="ctr"/>
        <c:lblOffset val="100"/>
        <c:noMultiLvlLbl val="0"/>
      </c:catAx>
      <c:valAx>
        <c:axId val="13892168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921473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[Retail_Budget_Sales_Profit_Forecasting_Model.xlsx]Analysis!pvtMonthlyPerformance</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Monthly Sales and Gross Profit</a:t>
            </a:r>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rgbClr val="00B050"/>
            </a:solidFill>
            <a:round/>
          </a:ln>
          <a:effectLst/>
        </c:spPr>
        <c:marker>
          <c:symbol val="circle"/>
          <c:size val="5"/>
          <c:spPr>
            <a:solidFill>
              <a:srgbClr val="00B050"/>
            </a:solidFill>
            <a:ln w="9525">
              <a:solidFill>
                <a:srgbClr val="00B050"/>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rgbClr val="00B050"/>
            </a:solidFill>
            <a:round/>
          </a:ln>
          <a:effectLst/>
        </c:spPr>
        <c:marker>
          <c:symbol val="circle"/>
          <c:size val="5"/>
          <c:spPr>
            <a:solidFill>
              <a:srgbClr val="00B050"/>
            </a:solidFill>
            <a:ln w="9525">
              <a:solidFill>
                <a:srgbClr val="00B050"/>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circle"/>
          <c:size val="5"/>
          <c:spPr>
            <a:solidFill>
              <a:schemeClr val="accent1"/>
            </a:solidFill>
            <a:ln w="9525">
              <a:solidFill>
                <a:schemeClr val="accent1"/>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rgbClr val="00B050"/>
            </a:solidFill>
            <a:round/>
          </a:ln>
          <a:effectLst/>
        </c:spPr>
        <c:marker>
          <c:symbol val="circle"/>
          <c:size val="5"/>
          <c:spPr>
            <a:solidFill>
              <a:srgbClr val="00B050"/>
            </a:solidFill>
            <a:ln w="9525">
              <a:solidFill>
                <a:srgbClr val="00B050"/>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8669225721784777"/>
          <c:y val="0.14249781277340332"/>
          <c:w val="0.55538779527559057"/>
          <c:h val="0.57484069699620877"/>
        </c:manualLayout>
      </c:layout>
      <c:lineChart>
        <c:grouping val="standard"/>
        <c:varyColors val="0"/>
        <c:ser>
          <c:idx val="0"/>
          <c:order val="0"/>
          <c:tx>
            <c:strRef>
              <c:f>Analysis!$B$3</c:f>
              <c:strCache>
                <c:ptCount val="1"/>
                <c:pt idx="0">
                  <c:v>Total Sales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Analysis!$A$4:$A$25</c:f>
              <c:strCache>
                <c:ptCount val="21"/>
                <c:pt idx="0">
                  <c:v>2022-01</c:v>
                </c:pt>
                <c:pt idx="1">
                  <c:v>2022-02</c:v>
                </c:pt>
                <c:pt idx="2">
                  <c:v>2022-03</c:v>
                </c:pt>
                <c:pt idx="3">
                  <c:v>2022-04</c:v>
                </c:pt>
                <c:pt idx="4">
                  <c:v>2022-05</c:v>
                </c:pt>
                <c:pt idx="5">
                  <c:v>2022-06</c:v>
                </c:pt>
                <c:pt idx="6">
                  <c:v>2022-07</c:v>
                </c:pt>
                <c:pt idx="7">
                  <c:v>2022-08</c:v>
                </c:pt>
                <c:pt idx="8">
                  <c:v>2022-09</c:v>
                </c:pt>
                <c:pt idx="9">
                  <c:v>2022-10</c:v>
                </c:pt>
                <c:pt idx="10">
                  <c:v>2022-11</c:v>
                </c:pt>
                <c:pt idx="11">
                  <c:v>2022-12</c:v>
                </c:pt>
                <c:pt idx="12">
                  <c:v>2023-01</c:v>
                </c:pt>
                <c:pt idx="13">
                  <c:v>2023-02</c:v>
                </c:pt>
                <c:pt idx="14">
                  <c:v>2023-03</c:v>
                </c:pt>
                <c:pt idx="15">
                  <c:v>2023-04</c:v>
                </c:pt>
                <c:pt idx="16">
                  <c:v>2023-05</c:v>
                </c:pt>
                <c:pt idx="17">
                  <c:v>2023-06</c:v>
                </c:pt>
                <c:pt idx="18">
                  <c:v>2023-07</c:v>
                </c:pt>
                <c:pt idx="19">
                  <c:v>2023-08</c:v>
                </c:pt>
                <c:pt idx="20">
                  <c:v>2023-09</c:v>
                </c:pt>
              </c:strCache>
            </c:strRef>
          </c:cat>
          <c:val>
            <c:numRef>
              <c:f>Analysis!$B$4:$B$25</c:f>
              <c:numCache>
                <c:formatCode>\$#,##0.00;\(\$#,##0.00\);\$#,##0.00</c:formatCode>
                <c:ptCount val="21"/>
                <c:pt idx="0">
                  <c:v>542554.91</c:v>
                </c:pt>
                <c:pt idx="1">
                  <c:v>541351.65</c:v>
                </c:pt>
                <c:pt idx="2">
                  <c:v>589485.18999999994</c:v>
                </c:pt>
                <c:pt idx="3">
                  <c:v>681072.98</c:v>
                </c:pt>
                <c:pt idx="4">
                  <c:v>672369.9</c:v>
                </c:pt>
                <c:pt idx="5">
                  <c:v>661980.22</c:v>
                </c:pt>
                <c:pt idx="6">
                  <c:v>556034.23</c:v>
                </c:pt>
                <c:pt idx="7">
                  <c:v>489422.73</c:v>
                </c:pt>
                <c:pt idx="8">
                  <c:v>585844.04</c:v>
                </c:pt>
                <c:pt idx="9">
                  <c:v>623874.39</c:v>
                </c:pt>
                <c:pt idx="10">
                  <c:v>661304.15</c:v>
                </c:pt>
                <c:pt idx="11">
                  <c:v>877203.69</c:v>
                </c:pt>
                <c:pt idx="12">
                  <c:v>747196.22</c:v>
                </c:pt>
                <c:pt idx="13">
                  <c:v>722632.19</c:v>
                </c:pt>
                <c:pt idx="14">
                  <c:v>883515.64</c:v>
                </c:pt>
                <c:pt idx="15">
                  <c:v>827691.07</c:v>
                </c:pt>
                <c:pt idx="16">
                  <c:v>825319.49</c:v>
                </c:pt>
                <c:pt idx="17">
                  <c:v>808299.25</c:v>
                </c:pt>
                <c:pt idx="18">
                  <c:v>828348.86</c:v>
                </c:pt>
                <c:pt idx="19">
                  <c:v>660877.06999999995</c:v>
                </c:pt>
                <c:pt idx="20">
                  <c:v>658194.48</c:v>
                </c:pt>
              </c:numCache>
            </c:numRef>
          </c:val>
          <c:smooth val="0"/>
          <c:extLst>
            <c:ext xmlns:c16="http://schemas.microsoft.com/office/drawing/2014/chart" uri="{C3380CC4-5D6E-409C-BE32-E72D297353CC}">
              <c16:uniqueId val="{00000000-0141-43CE-905F-6CE70CDFEB13}"/>
            </c:ext>
          </c:extLst>
        </c:ser>
        <c:ser>
          <c:idx val="1"/>
          <c:order val="1"/>
          <c:tx>
            <c:strRef>
              <c:f>Analysis!$C$3</c:f>
              <c:strCache>
                <c:ptCount val="1"/>
                <c:pt idx="0">
                  <c:v>Gross Profit</c:v>
                </c:pt>
              </c:strCache>
            </c:strRef>
          </c:tx>
          <c:spPr>
            <a:ln w="28575" cap="rnd">
              <a:solidFill>
                <a:srgbClr val="00B050"/>
              </a:solidFill>
              <a:round/>
            </a:ln>
            <a:effectLst/>
          </c:spPr>
          <c:marker>
            <c:symbol val="circle"/>
            <c:size val="5"/>
            <c:spPr>
              <a:solidFill>
                <a:srgbClr val="00B050"/>
              </a:solidFill>
              <a:ln w="9525">
                <a:solidFill>
                  <a:srgbClr val="00B050"/>
                </a:solidFill>
              </a:ln>
              <a:effectLst/>
            </c:spPr>
          </c:marker>
          <c:cat>
            <c:strRef>
              <c:f>Analysis!$A$4:$A$25</c:f>
              <c:strCache>
                <c:ptCount val="21"/>
                <c:pt idx="0">
                  <c:v>2022-01</c:v>
                </c:pt>
                <c:pt idx="1">
                  <c:v>2022-02</c:v>
                </c:pt>
                <c:pt idx="2">
                  <c:v>2022-03</c:v>
                </c:pt>
                <c:pt idx="3">
                  <c:v>2022-04</c:v>
                </c:pt>
                <c:pt idx="4">
                  <c:v>2022-05</c:v>
                </c:pt>
                <c:pt idx="5">
                  <c:v>2022-06</c:v>
                </c:pt>
                <c:pt idx="6">
                  <c:v>2022-07</c:v>
                </c:pt>
                <c:pt idx="7">
                  <c:v>2022-08</c:v>
                </c:pt>
                <c:pt idx="8">
                  <c:v>2022-09</c:v>
                </c:pt>
                <c:pt idx="9">
                  <c:v>2022-10</c:v>
                </c:pt>
                <c:pt idx="10">
                  <c:v>2022-11</c:v>
                </c:pt>
                <c:pt idx="11">
                  <c:v>2022-12</c:v>
                </c:pt>
                <c:pt idx="12">
                  <c:v>2023-01</c:v>
                </c:pt>
                <c:pt idx="13">
                  <c:v>2023-02</c:v>
                </c:pt>
                <c:pt idx="14">
                  <c:v>2023-03</c:v>
                </c:pt>
                <c:pt idx="15">
                  <c:v>2023-04</c:v>
                </c:pt>
                <c:pt idx="16">
                  <c:v>2023-05</c:v>
                </c:pt>
                <c:pt idx="17">
                  <c:v>2023-06</c:v>
                </c:pt>
                <c:pt idx="18">
                  <c:v>2023-07</c:v>
                </c:pt>
                <c:pt idx="19">
                  <c:v>2023-08</c:v>
                </c:pt>
                <c:pt idx="20">
                  <c:v>2023-09</c:v>
                </c:pt>
              </c:strCache>
            </c:strRef>
          </c:cat>
          <c:val>
            <c:numRef>
              <c:f>Analysis!$C$4:$C$25</c:f>
              <c:numCache>
                <c:formatCode>\$#,##0.00;\(\$#,##0.00\);\$#,##0.00</c:formatCode>
                <c:ptCount val="21"/>
                <c:pt idx="0">
                  <c:v>167126</c:v>
                </c:pt>
                <c:pt idx="1">
                  <c:v>161861</c:v>
                </c:pt>
                <c:pt idx="2">
                  <c:v>173992</c:v>
                </c:pt>
                <c:pt idx="3">
                  <c:v>190099</c:v>
                </c:pt>
                <c:pt idx="4">
                  <c:v>186894</c:v>
                </c:pt>
                <c:pt idx="5">
                  <c:v>189815</c:v>
                </c:pt>
                <c:pt idx="6">
                  <c:v>176922</c:v>
                </c:pt>
                <c:pt idx="7">
                  <c:v>158931</c:v>
                </c:pt>
                <c:pt idx="8">
                  <c:v>166397</c:v>
                </c:pt>
                <c:pt idx="9">
                  <c:v>178799</c:v>
                </c:pt>
                <c:pt idx="10">
                  <c:v>192873</c:v>
                </c:pt>
                <c:pt idx="11">
                  <c:v>246078</c:v>
                </c:pt>
                <c:pt idx="12">
                  <c:v>205074</c:v>
                </c:pt>
                <c:pt idx="13">
                  <c:v>189314</c:v>
                </c:pt>
                <c:pt idx="14">
                  <c:v>231909</c:v>
                </c:pt>
                <c:pt idx="15">
                  <c:v>215096</c:v>
                </c:pt>
                <c:pt idx="16">
                  <c:v>210347</c:v>
                </c:pt>
                <c:pt idx="17">
                  <c:v>207212</c:v>
                </c:pt>
                <c:pt idx="18">
                  <c:v>209807</c:v>
                </c:pt>
                <c:pt idx="19">
                  <c:v>175038</c:v>
                </c:pt>
                <c:pt idx="20">
                  <c:v>180445</c:v>
                </c:pt>
              </c:numCache>
            </c:numRef>
          </c:val>
          <c:smooth val="0"/>
          <c:extLst>
            <c:ext xmlns:c16="http://schemas.microsoft.com/office/drawing/2014/chart" uri="{C3380CC4-5D6E-409C-BE32-E72D297353CC}">
              <c16:uniqueId val="{00000001-0141-43CE-905F-6CE70CDFEB13}"/>
            </c:ext>
          </c:extLst>
        </c:ser>
        <c:dLbls>
          <c:showLegendKey val="0"/>
          <c:showVal val="0"/>
          <c:showCatName val="0"/>
          <c:showSerName val="0"/>
          <c:showPercent val="0"/>
          <c:showBubbleSize val="0"/>
        </c:dLbls>
        <c:marker val="1"/>
        <c:smooth val="0"/>
        <c:axId val="1343117455"/>
        <c:axId val="1343119535"/>
      </c:lineChart>
      <c:catAx>
        <c:axId val="1343117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3119535"/>
        <c:crosses val="autoZero"/>
        <c:auto val="1"/>
        <c:lblAlgn val="ctr"/>
        <c:lblOffset val="100"/>
        <c:noMultiLvlLbl val="0"/>
      </c:catAx>
      <c:valAx>
        <c:axId val="1343119535"/>
        <c:scaling>
          <c:orientation val="minMax"/>
        </c:scaling>
        <c:delete val="0"/>
        <c:axPos val="l"/>
        <c:majorGridlines>
          <c:spPr>
            <a:ln w="9525" cap="flat" cmpd="sng" algn="ctr">
              <a:solidFill>
                <a:schemeClr val="tx1">
                  <a:lumMod val="15000"/>
                  <a:lumOff val="85000"/>
                </a:schemeClr>
              </a:solidFill>
              <a:round/>
            </a:ln>
            <a:effectLst/>
          </c:spPr>
        </c:majorGridlines>
        <c:numFmt formatCode="\$#,##0.0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31174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[Retail_Budget_Sales_Profit_Forecasting_Model.xlsx]Analysis!pvtCategoryChart</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Sales and Gross Profit by Product Category</a:t>
            </a:r>
          </a:p>
          <a:p>
            <a:pPr>
              <a:defRPr/>
            </a:pPr>
            <a:endParaRPr lang="en-US"/>
          </a:p>
        </c:rich>
      </c:tx>
      <c:layout>
        <c:manualLayout>
          <c:xMode val="edge"/>
          <c:yMode val="edge"/>
          <c:x val="0.1564096675415573"/>
          <c:y val="3.24074074074074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00B050"/>
          </a:solidFill>
          <a:ln>
            <a:solidFill>
              <a:srgbClr val="00B05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rgbClr val="00B050"/>
          </a:solidFill>
          <a:ln>
            <a:solidFill>
              <a:srgbClr val="00B05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rgbClr val="00B050"/>
          </a:solidFill>
          <a:ln>
            <a:solidFill>
              <a:srgbClr val="00B05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Analysis!$Q$30</c:f>
              <c:strCache>
                <c:ptCount val="1"/>
                <c:pt idx="0">
                  <c:v>Total Sales</c:v>
                </c:pt>
              </c:strCache>
            </c:strRef>
          </c:tx>
          <c:spPr>
            <a:solidFill>
              <a:schemeClr val="accent1"/>
            </a:solidFill>
            <a:ln>
              <a:noFill/>
            </a:ln>
            <a:effectLst/>
          </c:spPr>
          <c:invertIfNegative val="0"/>
          <c:cat>
            <c:strRef>
              <c:f>Analysis!$P$31:$P$36</c:f>
              <c:strCache>
                <c:ptCount val="5"/>
                <c:pt idx="0">
                  <c:v>Toys</c:v>
                </c:pt>
                <c:pt idx="1">
                  <c:v>Art &amp; Crafts</c:v>
                </c:pt>
                <c:pt idx="2">
                  <c:v>Electronics</c:v>
                </c:pt>
                <c:pt idx="3">
                  <c:v>Games</c:v>
                </c:pt>
                <c:pt idx="4">
                  <c:v>Sports &amp; Outdoors</c:v>
                </c:pt>
              </c:strCache>
            </c:strRef>
          </c:cat>
          <c:val>
            <c:numRef>
              <c:f>Analysis!$Q$31:$Q$36</c:f>
              <c:numCache>
                <c:formatCode>\$#,##0.00;\(\$#,##0.00\);\$#,##0.00</c:formatCode>
                <c:ptCount val="5"/>
                <c:pt idx="0">
                  <c:v>5093241</c:v>
                </c:pt>
                <c:pt idx="1">
                  <c:v>2705364.26</c:v>
                </c:pt>
                <c:pt idx="2">
                  <c:v>2246771.25</c:v>
                </c:pt>
                <c:pt idx="3">
                  <c:v>2226836.27</c:v>
                </c:pt>
                <c:pt idx="4">
                  <c:v>2172359.5699999998</c:v>
                </c:pt>
              </c:numCache>
            </c:numRef>
          </c:val>
          <c:extLst>
            <c:ext xmlns:c16="http://schemas.microsoft.com/office/drawing/2014/chart" uri="{C3380CC4-5D6E-409C-BE32-E72D297353CC}">
              <c16:uniqueId val="{00000000-E091-457A-A784-19354854552A}"/>
            </c:ext>
          </c:extLst>
        </c:ser>
        <c:ser>
          <c:idx val="1"/>
          <c:order val="1"/>
          <c:tx>
            <c:strRef>
              <c:f>Analysis!$R$30</c:f>
              <c:strCache>
                <c:ptCount val="1"/>
                <c:pt idx="0">
                  <c:v>Gross Profit</c:v>
                </c:pt>
              </c:strCache>
            </c:strRef>
          </c:tx>
          <c:spPr>
            <a:solidFill>
              <a:srgbClr val="00B050"/>
            </a:solidFill>
            <a:ln>
              <a:solidFill>
                <a:srgbClr val="00B050"/>
              </a:solidFill>
            </a:ln>
            <a:effectLst/>
          </c:spPr>
          <c:invertIfNegative val="0"/>
          <c:cat>
            <c:strRef>
              <c:f>Analysis!$P$31:$P$36</c:f>
              <c:strCache>
                <c:ptCount val="5"/>
                <c:pt idx="0">
                  <c:v>Toys</c:v>
                </c:pt>
                <c:pt idx="1">
                  <c:v>Art &amp; Crafts</c:v>
                </c:pt>
                <c:pt idx="2">
                  <c:v>Electronics</c:v>
                </c:pt>
                <c:pt idx="3">
                  <c:v>Games</c:v>
                </c:pt>
                <c:pt idx="4">
                  <c:v>Sports &amp; Outdoors</c:v>
                </c:pt>
              </c:strCache>
            </c:strRef>
          </c:cat>
          <c:val>
            <c:numRef>
              <c:f>Analysis!$R$31:$R$36</c:f>
              <c:numCache>
                <c:formatCode>\$#,##0.00;\(\$#,##0.00\);\$#,##0.00</c:formatCode>
                <c:ptCount val="5"/>
                <c:pt idx="0">
                  <c:v>1079527</c:v>
                </c:pt>
                <c:pt idx="1">
                  <c:v>753354</c:v>
                </c:pt>
                <c:pt idx="2">
                  <c:v>1001437</c:v>
                </c:pt>
                <c:pt idx="3">
                  <c:v>673993</c:v>
                </c:pt>
                <c:pt idx="4">
                  <c:v>505718</c:v>
                </c:pt>
              </c:numCache>
            </c:numRef>
          </c:val>
          <c:extLst>
            <c:ext xmlns:c16="http://schemas.microsoft.com/office/drawing/2014/chart" uri="{C3380CC4-5D6E-409C-BE32-E72D297353CC}">
              <c16:uniqueId val="{00000001-E091-457A-A784-19354854552A}"/>
            </c:ext>
          </c:extLst>
        </c:ser>
        <c:dLbls>
          <c:showLegendKey val="0"/>
          <c:showVal val="0"/>
          <c:showCatName val="0"/>
          <c:showSerName val="0"/>
          <c:showPercent val="0"/>
          <c:showBubbleSize val="0"/>
        </c:dLbls>
        <c:gapWidth val="219"/>
        <c:overlap val="-27"/>
        <c:axId val="1236523695"/>
        <c:axId val="1236522863"/>
      </c:barChart>
      <c:catAx>
        <c:axId val="123652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6522863"/>
        <c:crosses val="autoZero"/>
        <c:auto val="1"/>
        <c:lblAlgn val="ctr"/>
        <c:lblOffset val="100"/>
        <c:noMultiLvlLbl val="0"/>
      </c:catAx>
      <c:valAx>
        <c:axId val="1236522863"/>
        <c:scaling>
          <c:orientation val="minMax"/>
        </c:scaling>
        <c:delete val="0"/>
        <c:axPos val="l"/>
        <c:majorGridlines>
          <c:spPr>
            <a:ln w="9525" cap="flat" cmpd="sng" algn="ctr">
              <a:solidFill>
                <a:schemeClr val="tx1">
                  <a:lumMod val="15000"/>
                  <a:lumOff val="85000"/>
                </a:schemeClr>
              </a:solidFill>
              <a:round/>
            </a:ln>
            <a:effectLst/>
          </c:spPr>
        </c:majorGridlines>
        <c:numFmt formatCode="\$#,##0.0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6523695"/>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[Retail_Budget_Sales_Profit_Forecasting_Model.xlsx]Analysis!pvtTop10StoresChart</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Top 10 Stores by Gross Profit</a:t>
            </a:r>
          </a:p>
          <a:p>
            <a:pPr>
              <a:defRPr/>
            </a:pPr>
            <a:endParaRPr lang="en-US"/>
          </a:p>
        </c:rich>
      </c:tx>
      <c:layout>
        <c:manualLayout>
          <c:xMode val="edge"/>
          <c:yMode val="edge"/>
          <c:x val="0.28996522309711287"/>
          <c:y val="8.694225721784776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rgbClr val="00B050"/>
          </a:solidFill>
          <a:ln>
            <a:solidFill>
              <a:srgbClr val="00B05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rgbClr val="00B050"/>
          </a:solidFill>
          <a:ln>
            <a:solidFill>
              <a:srgbClr val="00B05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rgbClr val="00B050"/>
          </a:solidFill>
          <a:ln>
            <a:solidFill>
              <a:srgbClr val="00B050"/>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Analysis!$Y$3</c:f>
              <c:strCache>
                <c:ptCount val="1"/>
                <c:pt idx="0">
                  <c:v>Total</c:v>
                </c:pt>
              </c:strCache>
            </c:strRef>
          </c:tx>
          <c:spPr>
            <a:solidFill>
              <a:srgbClr val="00B050"/>
            </a:solidFill>
            <a:ln>
              <a:solidFill>
                <a:srgbClr val="00B050"/>
              </a:solidFill>
            </a:ln>
            <a:effectLst/>
          </c:spPr>
          <c:invertIfNegative val="0"/>
          <c:cat>
            <c:strRef>
              <c:f>Analysis!$X$4:$X$14</c:f>
              <c:strCache>
                <c:ptCount val="10"/>
                <c:pt idx="0">
                  <c:v>Maven Toys Ciudad de Mexico 2</c:v>
                </c:pt>
                <c:pt idx="1">
                  <c:v>Maven Toys Guadalajara 3</c:v>
                </c:pt>
                <c:pt idx="2">
                  <c:v>Maven Toys Ciudad de Mexico 1</c:v>
                </c:pt>
                <c:pt idx="3">
                  <c:v>Maven Toys Monterrey 2</c:v>
                </c:pt>
                <c:pt idx="4">
                  <c:v>Maven Toys Toluca 1</c:v>
                </c:pt>
                <c:pt idx="5">
                  <c:v>Maven Toys Guadalajara 4</c:v>
                </c:pt>
                <c:pt idx="6">
                  <c:v>Maven Toys Hermosillo 3</c:v>
                </c:pt>
                <c:pt idx="7">
                  <c:v>Maven Toys Mexicali 1</c:v>
                </c:pt>
                <c:pt idx="8">
                  <c:v>Maven Toys Saltillo 1</c:v>
                </c:pt>
                <c:pt idx="9">
                  <c:v>Maven Toys Ciudad de Mexico 3</c:v>
                </c:pt>
              </c:strCache>
            </c:strRef>
          </c:cat>
          <c:val>
            <c:numRef>
              <c:f>Analysis!$Y$4:$Y$14</c:f>
              <c:numCache>
                <c:formatCode>\$#,##0.00;\(\$#,##0.00\);\$#,##0.00</c:formatCode>
                <c:ptCount val="10"/>
                <c:pt idx="0">
                  <c:v>169856</c:v>
                </c:pt>
                <c:pt idx="1">
                  <c:v>121571</c:v>
                </c:pt>
                <c:pt idx="2">
                  <c:v>111296</c:v>
                </c:pt>
                <c:pt idx="3">
                  <c:v>106783</c:v>
                </c:pt>
                <c:pt idx="4">
                  <c:v>104612</c:v>
                </c:pt>
                <c:pt idx="5">
                  <c:v>102178</c:v>
                </c:pt>
                <c:pt idx="6">
                  <c:v>98825</c:v>
                </c:pt>
                <c:pt idx="7">
                  <c:v>97206</c:v>
                </c:pt>
                <c:pt idx="8">
                  <c:v>94252</c:v>
                </c:pt>
                <c:pt idx="9">
                  <c:v>94021</c:v>
                </c:pt>
              </c:numCache>
            </c:numRef>
          </c:val>
          <c:extLst>
            <c:ext xmlns:c16="http://schemas.microsoft.com/office/drawing/2014/chart" uri="{C3380CC4-5D6E-409C-BE32-E72D297353CC}">
              <c16:uniqueId val="{00000000-E223-413A-9490-F6747B87E369}"/>
            </c:ext>
          </c:extLst>
        </c:ser>
        <c:dLbls>
          <c:showLegendKey val="0"/>
          <c:showVal val="0"/>
          <c:showCatName val="0"/>
          <c:showSerName val="0"/>
          <c:showPercent val="0"/>
          <c:showBubbleSize val="0"/>
        </c:dLbls>
        <c:gapWidth val="182"/>
        <c:axId val="1236509551"/>
        <c:axId val="1236498735"/>
      </c:barChart>
      <c:catAx>
        <c:axId val="123650955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6498735"/>
        <c:crosses val="autoZero"/>
        <c:auto val="1"/>
        <c:lblAlgn val="ctr"/>
        <c:lblOffset val="100"/>
        <c:noMultiLvlLbl val="0"/>
      </c:catAx>
      <c:valAx>
        <c:axId val="1236498735"/>
        <c:scaling>
          <c:orientation val="minMax"/>
        </c:scaling>
        <c:delete val="0"/>
        <c:axPos val="t"/>
        <c:majorGridlines>
          <c:spPr>
            <a:ln w="9525" cap="flat" cmpd="sng" algn="ctr">
              <a:solidFill>
                <a:schemeClr val="tx1">
                  <a:lumMod val="15000"/>
                  <a:lumOff val="85000"/>
                </a:schemeClr>
              </a:solidFill>
              <a:round/>
            </a:ln>
            <a:effectLst/>
          </c:spPr>
        </c:majorGridlines>
        <c:numFmt formatCode="\$#,##0.0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650955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[Retail_Budget_Sales_Profit_Forecasting_Model.xlsx]Analysis!pvtScenarioForecast</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Selected Scenario Forecast</a:t>
            </a:r>
          </a:p>
          <a:p>
            <a:pPr>
              <a:defRPr/>
            </a:pPr>
            <a:endParaRPr lang="en-US"/>
          </a:p>
        </c:rich>
      </c:tx>
      <c:layout>
        <c:manualLayout>
          <c:xMode val="edge"/>
          <c:yMode val="edge"/>
          <c:x val="0.28144444444444444"/>
          <c:y val="2.777777777777777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6"/>
          </a:solidFill>
          <a:ln>
            <a:solidFill>
              <a:schemeClr val="accent6"/>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6"/>
          </a:solidFill>
          <a:ln>
            <a:solidFill>
              <a:schemeClr val="accent6"/>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6"/>
          </a:solidFill>
          <a:ln>
            <a:solidFill>
              <a:schemeClr val="accent6"/>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Analysis!$Y$55</c:f>
              <c:strCache>
                <c:ptCount val="1"/>
                <c:pt idx="0">
                  <c:v>Sum of Forecasted_Sales</c:v>
                </c:pt>
              </c:strCache>
            </c:strRef>
          </c:tx>
          <c:spPr>
            <a:solidFill>
              <a:schemeClr val="accent1"/>
            </a:solidFill>
            <a:ln>
              <a:noFill/>
            </a:ln>
            <a:effectLst/>
          </c:spPr>
          <c:invertIfNegative val="0"/>
          <c:cat>
            <c:strRef>
              <c:f>Analysis!$X$56:$X$59</c:f>
              <c:strCache>
                <c:ptCount val="3"/>
                <c:pt idx="0">
                  <c:v>Oct 2023</c:v>
                </c:pt>
                <c:pt idx="1">
                  <c:v>Nov 2023</c:v>
                </c:pt>
                <c:pt idx="2">
                  <c:v>Dec 2023</c:v>
                </c:pt>
              </c:strCache>
            </c:strRef>
          </c:cat>
          <c:val>
            <c:numRef>
              <c:f>Analysis!$Y$56:$Y$59</c:f>
              <c:numCache>
                <c:formatCode>General</c:formatCode>
                <c:ptCount val="3"/>
                <c:pt idx="0">
                  <c:v>698739.31679999433</c:v>
                </c:pt>
                <c:pt idx="1">
                  <c:v>740660.64800000587</c:v>
                </c:pt>
                <c:pt idx="2">
                  <c:v>982468.13279997231</c:v>
                </c:pt>
              </c:numCache>
            </c:numRef>
          </c:val>
          <c:extLst>
            <c:ext xmlns:c16="http://schemas.microsoft.com/office/drawing/2014/chart" uri="{C3380CC4-5D6E-409C-BE32-E72D297353CC}">
              <c16:uniqueId val="{00000000-4853-4F3E-9592-04A607DCD291}"/>
            </c:ext>
          </c:extLst>
        </c:ser>
        <c:ser>
          <c:idx val="1"/>
          <c:order val="1"/>
          <c:tx>
            <c:strRef>
              <c:f>Analysis!$Z$55</c:f>
              <c:strCache>
                <c:ptCount val="1"/>
                <c:pt idx="0">
                  <c:v>Sum of Forecasted_Profit</c:v>
                </c:pt>
              </c:strCache>
            </c:strRef>
          </c:tx>
          <c:spPr>
            <a:solidFill>
              <a:schemeClr val="accent6"/>
            </a:solidFill>
            <a:ln>
              <a:solidFill>
                <a:schemeClr val="accent6"/>
              </a:solidFill>
            </a:ln>
            <a:effectLst/>
          </c:spPr>
          <c:invertIfNegative val="0"/>
          <c:cat>
            <c:strRef>
              <c:f>Analysis!$X$56:$X$59</c:f>
              <c:strCache>
                <c:ptCount val="3"/>
                <c:pt idx="0">
                  <c:v>Oct 2023</c:v>
                </c:pt>
                <c:pt idx="1">
                  <c:v>Nov 2023</c:v>
                </c:pt>
                <c:pt idx="2">
                  <c:v>Dec 2023</c:v>
                </c:pt>
              </c:strCache>
            </c:strRef>
          </c:cat>
          <c:val>
            <c:numRef>
              <c:f>Analysis!$Z$56:$Z$59</c:f>
              <c:numCache>
                <c:formatCode>General</c:formatCode>
                <c:ptCount val="3"/>
                <c:pt idx="0">
                  <c:v>205239.72436801594</c:v>
                </c:pt>
                <c:pt idx="1">
                  <c:v>221264.1888800193</c:v>
                </c:pt>
                <c:pt idx="2">
                  <c:v>282675.96772794134</c:v>
                </c:pt>
              </c:numCache>
            </c:numRef>
          </c:val>
          <c:extLst>
            <c:ext xmlns:c16="http://schemas.microsoft.com/office/drawing/2014/chart" uri="{C3380CC4-5D6E-409C-BE32-E72D297353CC}">
              <c16:uniqueId val="{00000001-4853-4F3E-9592-04A607DCD291}"/>
            </c:ext>
          </c:extLst>
        </c:ser>
        <c:dLbls>
          <c:showLegendKey val="0"/>
          <c:showVal val="0"/>
          <c:showCatName val="0"/>
          <c:showSerName val="0"/>
          <c:showPercent val="0"/>
          <c:showBubbleSize val="0"/>
        </c:dLbls>
        <c:gapWidth val="219"/>
        <c:overlap val="-27"/>
        <c:axId val="1960621519"/>
        <c:axId val="1960622351"/>
      </c:barChart>
      <c:catAx>
        <c:axId val="19606215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0622351"/>
        <c:crosses val="autoZero"/>
        <c:auto val="1"/>
        <c:lblAlgn val="ctr"/>
        <c:lblOffset val="100"/>
        <c:noMultiLvlLbl val="0"/>
      </c:catAx>
      <c:valAx>
        <c:axId val="196062235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6062151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[Retail_Budget_Sales_Profit_Forecasting_Model.xlsx]Analysis!pvtInventoryAnalysis</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Inventory Value by Product Category</a:t>
            </a:r>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ser>
          <c:idx val="0"/>
          <c:order val="0"/>
          <c:tx>
            <c:strRef>
              <c:f>Analysis!$L$60</c:f>
              <c:strCache>
                <c:ptCount val="1"/>
                <c:pt idx="0">
                  <c:v>Total</c:v>
                </c:pt>
              </c:strCache>
            </c:strRef>
          </c:tx>
          <c:spPr>
            <a:solidFill>
              <a:schemeClr val="accent1"/>
            </a:solidFill>
            <a:ln>
              <a:noFill/>
            </a:ln>
            <a:effectLst/>
          </c:spPr>
          <c:invertIfNegative val="0"/>
          <c:cat>
            <c:strRef>
              <c:f>Analysis!$K$61:$K$66</c:f>
              <c:strCache>
                <c:ptCount val="5"/>
                <c:pt idx="0">
                  <c:v>Toys</c:v>
                </c:pt>
                <c:pt idx="1">
                  <c:v>Art &amp; Crafts</c:v>
                </c:pt>
                <c:pt idx="2">
                  <c:v>Sports &amp; Outdoors</c:v>
                </c:pt>
                <c:pt idx="3">
                  <c:v>Games</c:v>
                </c:pt>
                <c:pt idx="4">
                  <c:v>Electronics</c:v>
                </c:pt>
              </c:strCache>
            </c:strRef>
          </c:cat>
          <c:val>
            <c:numRef>
              <c:f>Analysis!$L$61:$L$66</c:f>
              <c:numCache>
                <c:formatCode>\$#,##0.00;\(\$#,##0.00\);\$#,##0.00</c:formatCode>
                <c:ptCount val="5"/>
                <c:pt idx="0">
                  <c:v>99861.47</c:v>
                </c:pt>
                <c:pt idx="1">
                  <c:v>65075.65</c:v>
                </c:pt>
                <c:pt idx="2">
                  <c:v>53077.19</c:v>
                </c:pt>
                <c:pt idx="3">
                  <c:v>51489.45</c:v>
                </c:pt>
                <c:pt idx="4">
                  <c:v>30705.82</c:v>
                </c:pt>
              </c:numCache>
            </c:numRef>
          </c:val>
          <c:extLst>
            <c:ext xmlns:c16="http://schemas.microsoft.com/office/drawing/2014/chart" uri="{C3380CC4-5D6E-409C-BE32-E72D297353CC}">
              <c16:uniqueId val="{00000000-0F7F-420A-BCC1-86DD90599B3F}"/>
            </c:ext>
          </c:extLst>
        </c:ser>
        <c:dLbls>
          <c:showLegendKey val="0"/>
          <c:showVal val="0"/>
          <c:showCatName val="0"/>
          <c:showSerName val="0"/>
          <c:showPercent val="0"/>
          <c:showBubbleSize val="0"/>
        </c:dLbls>
        <c:gapWidth val="182"/>
        <c:axId val="1389214319"/>
        <c:axId val="1389215567"/>
      </c:barChart>
      <c:catAx>
        <c:axId val="138921431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9215567"/>
        <c:crosses val="autoZero"/>
        <c:auto val="1"/>
        <c:lblAlgn val="ctr"/>
        <c:lblOffset val="100"/>
        <c:noMultiLvlLbl val="0"/>
      </c:catAx>
      <c:valAx>
        <c:axId val="1389215567"/>
        <c:scaling>
          <c:orientation val="minMax"/>
        </c:scaling>
        <c:delete val="0"/>
        <c:axPos val="b"/>
        <c:majorGridlines>
          <c:spPr>
            <a:ln w="9525" cap="flat" cmpd="sng" algn="ctr">
              <a:solidFill>
                <a:schemeClr val="tx1">
                  <a:lumMod val="15000"/>
                  <a:lumOff val="85000"/>
                </a:schemeClr>
              </a:solidFill>
              <a:round/>
            </a:ln>
            <a:effectLst/>
          </c:spPr>
        </c:majorGridlines>
        <c:numFmt formatCode="\$#,##0.0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8921431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1</xdr:rowOff>
    </xdr:from>
    <xdr:to>
      <xdr:col>2</xdr:col>
      <xdr:colOff>76200</xdr:colOff>
      <xdr:row>9</xdr:row>
      <xdr:rowOff>1</xdr:rowOff>
    </xdr:to>
    <mc:AlternateContent xmlns:mc="http://schemas.openxmlformats.org/markup-compatibility/2006">
      <mc:Choice xmlns:a14="http://schemas.microsoft.com/office/drawing/2010/main" Requires="a14">
        <xdr:graphicFrame macro="">
          <xdr:nvGraphicFramePr>
            <xdr:cNvPr id="2" name="Year">
              <a:extLst>
                <a:ext uri="{FF2B5EF4-FFF2-40B4-BE49-F238E27FC236}">
                  <a16:creationId xmlns:a16="http://schemas.microsoft.com/office/drawing/2014/main" id="{8A52C270-B1C4-4A82-A2C4-D2DDB5E31A6C}"/>
                </a:ext>
              </a:extLst>
            </xdr:cNvPr>
            <xdr:cNvGraphicFramePr/>
          </xdr:nvGraphicFramePr>
          <xdr:xfrm>
            <a:off x="0" y="0"/>
            <a:ext cx="0" cy="0"/>
          </xdr:xfrm>
          <a:graphic>
            <a:graphicData uri="http://schemas.microsoft.com/office/drawing/2010/slicer">
              <sle:slicer xmlns:sle="http://schemas.microsoft.com/office/drawing/2010/slicer" name="Year"/>
            </a:graphicData>
          </a:graphic>
        </xdr:graphicFrame>
      </mc:Choice>
      <mc:Fallback>
        <xdr:sp macro="" textlink="">
          <xdr:nvSpPr>
            <xdr:cNvPr id="0" name=""/>
            <xdr:cNvSpPr>
              <a:spLocks noTextEdit="1"/>
            </xdr:cNvSpPr>
          </xdr:nvSpPr>
          <xdr:spPr>
            <a:xfrm>
              <a:off x="0" y="731521"/>
              <a:ext cx="1828800" cy="9144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22860</xdr:colOff>
      <xdr:row>3</xdr:row>
      <xdr:rowOff>167641</xdr:rowOff>
    </xdr:from>
    <xdr:to>
      <xdr:col>5</xdr:col>
      <xdr:colOff>99060</xdr:colOff>
      <xdr:row>8</xdr:row>
      <xdr:rowOff>152400</xdr:rowOff>
    </xdr:to>
    <mc:AlternateContent xmlns:mc="http://schemas.openxmlformats.org/markup-compatibility/2006">
      <mc:Choice xmlns:a14="http://schemas.microsoft.com/office/drawing/2010/main" Requires="a14">
        <xdr:graphicFrame macro="">
          <xdr:nvGraphicFramePr>
            <xdr:cNvPr id="3" name="Product_Category">
              <a:extLst>
                <a:ext uri="{FF2B5EF4-FFF2-40B4-BE49-F238E27FC236}">
                  <a16:creationId xmlns:a16="http://schemas.microsoft.com/office/drawing/2014/main" id="{AFE49F0C-AA58-427B-8AE5-58077A3E24C4}"/>
                </a:ext>
              </a:extLst>
            </xdr:cNvPr>
            <xdr:cNvGraphicFramePr/>
          </xdr:nvGraphicFramePr>
          <xdr:xfrm>
            <a:off x="0" y="0"/>
            <a:ext cx="0" cy="0"/>
          </xdr:xfrm>
          <a:graphic>
            <a:graphicData uri="http://schemas.microsoft.com/office/drawing/2010/slicer">
              <sle:slicer xmlns:sle="http://schemas.microsoft.com/office/drawing/2010/slicer" name="Product_Category"/>
            </a:graphicData>
          </a:graphic>
        </xdr:graphicFrame>
      </mc:Choice>
      <mc:Fallback>
        <xdr:sp macro="" textlink="">
          <xdr:nvSpPr>
            <xdr:cNvPr id="0" name=""/>
            <xdr:cNvSpPr>
              <a:spLocks noTextEdit="1"/>
            </xdr:cNvSpPr>
          </xdr:nvSpPr>
          <xdr:spPr>
            <a:xfrm>
              <a:off x="2651760" y="716281"/>
              <a:ext cx="1828800" cy="89915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15240</xdr:colOff>
      <xdr:row>3</xdr:row>
      <xdr:rowOff>160021</xdr:rowOff>
    </xdr:from>
    <xdr:to>
      <xdr:col>8</xdr:col>
      <xdr:colOff>91440</xdr:colOff>
      <xdr:row>8</xdr:row>
      <xdr:rowOff>106681</xdr:rowOff>
    </xdr:to>
    <mc:AlternateContent xmlns:mc="http://schemas.openxmlformats.org/markup-compatibility/2006">
      <mc:Choice xmlns:a14="http://schemas.microsoft.com/office/drawing/2010/main" Requires="a14">
        <xdr:graphicFrame macro="">
          <xdr:nvGraphicFramePr>
            <xdr:cNvPr id="4" name="Store_Location">
              <a:extLst>
                <a:ext uri="{FF2B5EF4-FFF2-40B4-BE49-F238E27FC236}">
                  <a16:creationId xmlns:a16="http://schemas.microsoft.com/office/drawing/2014/main" id="{0E133DF4-4310-4DD4-A438-404FC3845675}"/>
                </a:ext>
              </a:extLst>
            </xdr:cNvPr>
            <xdr:cNvGraphicFramePr/>
          </xdr:nvGraphicFramePr>
          <xdr:xfrm>
            <a:off x="0" y="0"/>
            <a:ext cx="0" cy="0"/>
          </xdr:xfrm>
          <a:graphic>
            <a:graphicData uri="http://schemas.microsoft.com/office/drawing/2010/slicer">
              <sle:slicer xmlns:sle="http://schemas.microsoft.com/office/drawing/2010/slicer" name="Store_Location"/>
            </a:graphicData>
          </a:graphic>
        </xdr:graphicFrame>
      </mc:Choice>
      <mc:Fallback>
        <xdr:sp macro="" textlink="">
          <xdr:nvSpPr>
            <xdr:cNvPr id="0" name=""/>
            <xdr:cNvSpPr>
              <a:spLocks noTextEdit="1"/>
            </xdr:cNvSpPr>
          </xdr:nvSpPr>
          <xdr:spPr>
            <a:xfrm>
              <a:off x="5273040" y="708661"/>
              <a:ext cx="1828800" cy="8610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0</xdr:colOff>
      <xdr:row>3</xdr:row>
      <xdr:rowOff>160021</xdr:rowOff>
    </xdr:from>
    <xdr:to>
      <xdr:col>11</xdr:col>
      <xdr:colOff>76200</xdr:colOff>
      <xdr:row>8</xdr:row>
      <xdr:rowOff>76201</xdr:rowOff>
    </xdr:to>
    <mc:AlternateContent xmlns:mc="http://schemas.openxmlformats.org/markup-compatibility/2006">
      <mc:Choice xmlns:a14="http://schemas.microsoft.com/office/drawing/2010/main" Requires="a14">
        <xdr:graphicFrame macro="">
          <xdr:nvGraphicFramePr>
            <xdr:cNvPr id="5" name="Store_Name">
              <a:extLst>
                <a:ext uri="{FF2B5EF4-FFF2-40B4-BE49-F238E27FC236}">
                  <a16:creationId xmlns:a16="http://schemas.microsoft.com/office/drawing/2014/main" id="{77E96A49-6C5E-4EB6-B1A1-A970BC4C43E6}"/>
                </a:ext>
              </a:extLst>
            </xdr:cNvPr>
            <xdr:cNvGraphicFramePr/>
          </xdr:nvGraphicFramePr>
          <xdr:xfrm>
            <a:off x="0" y="0"/>
            <a:ext cx="0" cy="0"/>
          </xdr:xfrm>
          <a:graphic>
            <a:graphicData uri="http://schemas.microsoft.com/office/drawing/2010/slicer">
              <sle:slicer xmlns:sle="http://schemas.microsoft.com/office/drawing/2010/slicer" name="Store_Name"/>
            </a:graphicData>
          </a:graphic>
        </xdr:graphicFrame>
      </mc:Choice>
      <mc:Fallback>
        <xdr:sp macro="" textlink="">
          <xdr:nvSpPr>
            <xdr:cNvPr id="0" name=""/>
            <xdr:cNvSpPr>
              <a:spLocks noTextEdit="1"/>
            </xdr:cNvSpPr>
          </xdr:nvSpPr>
          <xdr:spPr>
            <a:xfrm>
              <a:off x="7886700" y="708661"/>
              <a:ext cx="1828800" cy="83058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0</xdr:colOff>
      <xdr:row>22</xdr:row>
      <xdr:rowOff>0</xdr:rowOff>
    </xdr:from>
    <xdr:to>
      <xdr:col>5</xdr:col>
      <xdr:colOff>190500</xdr:colOff>
      <xdr:row>37</xdr:row>
      <xdr:rowOff>0</xdr:rowOff>
    </xdr:to>
    <xdr:graphicFrame macro="">
      <xdr:nvGraphicFramePr>
        <xdr:cNvPr id="6" name="Chart 5">
          <a:extLst>
            <a:ext uri="{FF2B5EF4-FFF2-40B4-BE49-F238E27FC236}">
              <a16:creationId xmlns:a16="http://schemas.microsoft.com/office/drawing/2014/main" id="{507AE29F-90A1-471A-A5A9-E2739213C9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xdr:row>
      <xdr:rowOff>0</xdr:rowOff>
    </xdr:from>
    <xdr:to>
      <xdr:col>12</xdr:col>
      <xdr:colOff>701040</xdr:colOff>
      <xdr:row>37</xdr:row>
      <xdr:rowOff>0</xdr:rowOff>
    </xdr:to>
    <xdr:graphicFrame macro="">
      <xdr:nvGraphicFramePr>
        <xdr:cNvPr id="7" name="Chart 6">
          <a:extLst>
            <a:ext uri="{FF2B5EF4-FFF2-40B4-BE49-F238E27FC236}">
              <a16:creationId xmlns:a16="http://schemas.microsoft.com/office/drawing/2014/main" id="{9A4B1F8F-F567-4CF5-8634-9731FFDABB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40</xdr:row>
      <xdr:rowOff>0</xdr:rowOff>
    </xdr:from>
    <xdr:to>
      <xdr:col>5</xdr:col>
      <xdr:colOff>182880</xdr:colOff>
      <xdr:row>55</xdr:row>
      <xdr:rowOff>0</xdr:rowOff>
    </xdr:to>
    <xdr:graphicFrame macro="">
      <xdr:nvGraphicFramePr>
        <xdr:cNvPr id="8" name="Chart 7">
          <a:extLst>
            <a:ext uri="{FF2B5EF4-FFF2-40B4-BE49-F238E27FC236}">
              <a16:creationId xmlns:a16="http://schemas.microsoft.com/office/drawing/2014/main" id="{F63E2823-62CA-4FD5-A255-4D71111975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40</xdr:row>
      <xdr:rowOff>0</xdr:rowOff>
    </xdr:from>
    <xdr:to>
      <xdr:col>12</xdr:col>
      <xdr:colOff>746760</xdr:colOff>
      <xdr:row>55</xdr:row>
      <xdr:rowOff>0</xdr:rowOff>
    </xdr:to>
    <xdr:graphicFrame macro="">
      <xdr:nvGraphicFramePr>
        <xdr:cNvPr id="9" name="Chart 8">
          <a:extLst>
            <a:ext uri="{FF2B5EF4-FFF2-40B4-BE49-F238E27FC236}">
              <a16:creationId xmlns:a16="http://schemas.microsoft.com/office/drawing/2014/main" id="{EC085DEE-E35E-48F3-A5ED-EF6780F675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58</xdr:row>
      <xdr:rowOff>0</xdr:rowOff>
    </xdr:from>
    <xdr:to>
      <xdr:col>5</xdr:col>
      <xdr:colOff>190500</xdr:colOff>
      <xdr:row>73</xdr:row>
      <xdr:rowOff>0</xdr:rowOff>
    </xdr:to>
    <xdr:graphicFrame macro="">
      <xdr:nvGraphicFramePr>
        <xdr:cNvPr id="10" name="Chart 9">
          <a:extLst>
            <a:ext uri="{FF2B5EF4-FFF2-40B4-BE49-F238E27FC236}">
              <a16:creationId xmlns:a16="http://schemas.microsoft.com/office/drawing/2014/main" id="{0A04E336-6BD1-48B1-BDC5-C46A1501F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58</xdr:row>
      <xdr:rowOff>0</xdr:rowOff>
    </xdr:from>
    <xdr:to>
      <xdr:col>12</xdr:col>
      <xdr:colOff>769620</xdr:colOff>
      <xdr:row>73</xdr:row>
      <xdr:rowOff>0</xdr:rowOff>
    </xdr:to>
    <xdr:graphicFrame macro="">
      <xdr:nvGraphicFramePr>
        <xdr:cNvPr id="11" name="Chart 10">
          <a:extLst>
            <a:ext uri="{FF2B5EF4-FFF2-40B4-BE49-F238E27FC236}">
              <a16:creationId xmlns:a16="http://schemas.microsoft.com/office/drawing/2014/main" id="{572F48B6-215C-41BB-A42F-706BA4069F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11.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44318425926" backgroundQuery="1" createdVersion="7" refreshedVersion="7" minRefreshableVersion="3" recordCount="0" supportSubquery="1" supportAdvancedDrill="1" xr:uid="{66FB96EB-1446-4E3C-9E68-40EE6D31D4A6}">
  <cacheSource type="external" connectionId="13"/>
  <cacheFields count="3">
    <cacheField name="[Products_Clean].[Product_Category].[Product_Category]" caption="Product_Category" numFmtId="0" hierarchy="18" level="1">
      <sharedItems count="5">
        <s v="Art &amp; Crafts"/>
        <s v="Electronics"/>
        <s v="Games"/>
        <s v="Sports &amp; Outdoors"/>
        <s v="Toys"/>
      </sharedItems>
    </cacheField>
    <cacheField name="[Measures].[Total Sales]" caption="Total Sales" numFmtId="0" hierarchy="40" level="32767"/>
    <cacheField name="[Measures].[Gross Profit]" caption="Gross Profit" numFmtId="0" hierarchy="42" level="32767"/>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0"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fieldsUsage count="2">
        <fieldUsage x="-1"/>
        <fieldUsage x="0"/>
      </fieldsUsage>
    </cacheHierarchy>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0" memberValueDatatype="130" unbalanced="0"/>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0"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oneField="1">
      <fieldsUsage count="1">
        <fieldUsage x="1"/>
      </fieldsUsage>
    </cacheHierarchy>
    <cacheHierarchy uniqueName="[Measures].[Total Cost]" caption="Total Cost" measure="1" displayFolder="" measureGroup="Sales_Clean" count="0"/>
    <cacheHierarchy uniqueName="[Measures].[Gross Profit]" caption="Gross Profit" measure="1" displayFolder="" measureGroup="Sales_Clean" count="0" oneField="1">
      <fieldsUsage count="1">
        <fieldUsage x="2"/>
      </fieldsUsage>
    </cacheHierarchy>
    <cacheHierarchy uniqueName="[Measures].[Profit Margin]" caption="Profit Margin" measure="1" displayFolder="" measureGroup="Sales_Clean" count="0"/>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44971458333" backgroundQuery="1" createdVersion="7" refreshedVersion="7" minRefreshableVersion="3" recordCount="0" supportSubquery="1" supportAdvancedDrill="1" xr:uid="{272D0EBE-1CE7-4045-9E63-577718F4331C}">
  <cacheSource type="external" connectionId="13"/>
  <cacheFields count="2">
    <cacheField name="[Stores_Clean].[Store_Name].[Store_Name]" caption="Store_Name" numFmtId="0" hierarchy="35" level="1">
      <sharedItems count="10">
        <s v="Maven Toys Ciudad de Mexico 1"/>
        <s v="Maven Toys Ciudad de Mexico 2"/>
        <s v="Maven Toys Ciudad de Mexico 3"/>
        <s v="Maven Toys Guadalajara 3"/>
        <s v="Maven Toys Guadalajara 4"/>
        <s v="Maven Toys Hermosillo 3"/>
        <s v="Maven Toys Mexicali 1"/>
        <s v="Maven Toys Monterrey 2"/>
        <s v="Maven Toys Saltillo 1"/>
        <s v="Maven Toys Toluca 1"/>
      </sharedItems>
    </cacheField>
    <cacheField name="[Measures].[Gross Profit]" caption="Gross Profit" numFmtId="0" hierarchy="42" level="32767"/>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0"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0" memberValueDatatype="130" unbalanced="0"/>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0"/>
      </fieldsUsage>
    </cacheHierarchy>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0"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cacheHierarchy uniqueName="[Measures].[Total Cost]" caption="Total Cost" measure="1" displayFolder="" measureGroup="Sales_Clean" count="0"/>
    <cacheHierarchy uniqueName="[Measures].[Gross Profit]" caption="Gross Profit" measure="1" displayFolder="" measureGroup="Sales_Clean" count="0" oneField="1">
      <fieldsUsage count="1">
        <fieldUsage x="1"/>
      </fieldsUsage>
    </cacheHierarchy>
    <cacheHierarchy uniqueName="[Measures].[Profit Margin]" caption="Profit Margin" measure="1" displayFolder="" measureGroup="Sales_Clean" count="0"/>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ll" refreshedDate="46295.468143287035" createdVersion="7" refreshedVersion="7" minRefreshableVersion="3" recordCount="45" xr:uid="{257BA97C-6E52-4472-948A-68CA98F1A2F1}">
  <cacheSource type="worksheet">
    <worksheetSource name="tblBudget"/>
  </cacheSource>
  <cacheFields count="12">
    <cacheField name="Month_Start" numFmtId="165">
      <sharedItems containsSemiMixedTypes="0" containsNonDate="0" containsDate="1" containsString="0" minDate="2023-01-01T00:00:00" maxDate="2023-09-02T00:00:00" count="9">
        <d v="2023-01-01T00:00:00"/>
        <d v="2023-02-01T00:00:00"/>
        <d v="2023-03-01T00:00:00"/>
        <d v="2023-04-01T00:00:00"/>
        <d v="2023-05-01T00:00:00"/>
        <d v="2023-06-01T00:00:00"/>
        <d v="2023-07-01T00:00:00"/>
        <d v="2023-08-01T00:00:00"/>
        <d v="2023-09-01T00:00:00"/>
      </sharedItems>
    </cacheField>
    <cacheField name="Category" numFmtId="0">
      <sharedItems/>
    </cacheField>
    <cacheField name="Prior_Year_Sales" numFmtId="166">
      <sharedItems containsSemiMixedTypes="0" containsString="0" containsNumber="1" minValue="33882.730000001829" maxValue="299615.54999994906"/>
    </cacheField>
    <cacheField name="Growth_Target" numFmtId="9">
      <sharedItems containsSemiMixedTypes="0" containsString="0" containsNumber="1" minValue="0.08" maxValue="0.08"/>
    </cacheField>
    <cacheField name="Budgeted_Sales" numFmtId="166">
      <sharedItems containsSemiMixedTypes="0" containsString="0" containsNumber="1" minValue="36593.348400001982" maxValue="323584.79399994499"/>
    </cacheField>
    <cacheField name="Actual_Sales" numFmtId="167">
      <sharedItems containsSemiMixedTypes="0" containsString="0" containsNumber="1" minValue="72150.889999999199" maxValue="303199.82999994984"/>
    </cacheField>
    <cacheField name="Sales_Variance" numFmtId="168">
      <sharedItems containsSemiMixedTypes="0" containsString="0" containsNumber="1" minValue="-55209.443999984476" maxValue="159727.5867999873"/>
    </cacheField>
    <cacheField name="Sales_Variance_Pct" numFmtId="10">
      <sharedItems containsSemiMixedTypes="0" containsString="0" containsNumber="1" minValue="-0.37209928235890755" maxValue="4.168327547176184"/>
    </cacheField>
    <cacheField name="Status" numFmtId="0">
      <sharedItems/>
    </cacheField>
    <cacheField name="Budgeted_Profit" numFmtId="166">
      <sharedItems containsSemiMixedTypes="0" containsString="0" containsNumber="1" minValue="10978.004520000593" maxValue="97075.438199983488"/>
    </cacheField>
    <cacheField name="Actual_Profit" numFmtId="167">
      <sharedItems containsSemiMixedTypes="0" containsString="0" containsNumber="1" containsInteger="1" minValue="20522" maxValue="62371"/>
    </cacheField>
    <cacheField name="Profit_Variance" numFmtId="168">
      <sharedItems containsSemiMixedTypes="0" containsString="0" containsNumber="1" minValue="-40673.438199983488" maxValue="39326.51367999929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39417129628" backgroundQuery="1" createdVersion="7" refreshedVersion="7" minRefreshableVersion="3" recordCount="0" supportSubquery="1" supportAdvancedDrill="1" xr:uid="{1921EFA4-5B2C-455D-BC2E-A63608F8859A}">
  <cacheSource type="external" connectionId="13"/>
  <cacheFields count="4">
    <cacheField name="[Calendar_Clean].[Year_Month].[Year_Month]" caption="Year_Month" numFmtId="0" hierarchy="6" level="1">
      <sharedItems count="21">
        <s v="2022-01"/>
        <s v="2022-02"/>
        <s v="2022-03"/>
        <s v="2022-04"/>
        <s v="2022-05"/>
        <s v="2022-06"/>
        <s v="2022-07"/>
        <s v="2022-08"/>
        <s v="2022-09"/>
        <s v="2022-10"/>
        <s v="2022-11"/>
        <s v="2022-12"/>
        <s v="2023-01"/>
        <s v="2023-02"/>
        <s v="2023-03"/>
        <s v="2023-04"/>
        <s v="2023-05"/>
        <s v="2023-06"/>
        <s v="2023-07"/>
        <s v="2023-08"/>
        <s v="2023-09"/>
      </sharedItems>
    </cacheField>
    <cacheField name="[Measures].[Total Sales]" caption="Total Sales" numFmtId="0" hierarchy="40" level="32767"/>
    <cacheField name="[Measures].[Gross Profit]" caption="Gross Profit" numFmtId="0" hierarchy="42" level="32767"/>
    <cacheField name="[Stores_Clean].[Store_Name].[Store_Name]" caption="Store_Name" numFmtId="0" hierarchy="35" level="1">
      <sharedItems containsSemiMixedTypes="0" containsNonDate="0" containsString="0"/>
    </cacheField>
  </cacheFields>
  <cacheHierarchies count="57">
    <cacheHierarchy uniqueName="[Calendar_Clean].[Date]" caption="Date" attribute="1" time="1" defaultMemberUniqueName="[Calendar_Clean].[Date].[All]" allUniqueName="[Calendar_Clean].[Date].[All]" dimensionUniqueName="[Calendar_Clean]" displayFolder="" count="2" memberValueDatatype="7" unbalanced="0"/>
    <cacheHierarchy uniqueName="[Calendar_Clean].[Year]" caption="Year" attribute="1" defaultMemberUniqueName="[Calendar_Clean].[Year].[All]" allUniqueName="[Calendar_Clean].[Year].[All]" dimensionUniqueName="[Calendar_Clean]" displayFolder="" count="2" memberValueDatatype="20" unbalanced="0"/>
    <cacheHierarchy uniqueName="[Calendar_Clean].[Month_Number]" caption="Month_Number" attribute="1" defaultMemberUniqueName="[Calendar_Clean].[Month_Number].[All]" allUniqueName="[Calendar_Clean].[Month_Number].[All]" dimensionUniqueName="[Calendar_Clean]" displayFolder="" count="2" memberValueDatatype="20" unbalanced="0"/>
    <cacheHierarchy uniqueName="[Calendar_Clean].[Month_Name]" caption="Month_Name" attribute="1" defaultMemberUniqueName="[Calendar_Clean].[Month_Name].[All]" allUniqueName="[Calendar_Clean].[Month_Name].[All]" dimensionUniqueName="[Calendar_Clean]" displayFolder="" count="2" memberValueDatatype="130" unbalanced="0"/>
    <cacheHierarchy uniqueName="[Calendar_Clean].[Quarter_Number]" caption="Quarter_Number" attribute="1" defaultMemberUniqueName="[Calendar_Clean].[Quarter_Number].[All]" allUniqueName="[Calendar_Clean].[Quarter_Number].[All]" dimensionUniqueName="[Calendar_Clean]" displayFolder="" count="2" memberValueDatatype="20" unbalanced="0"/>
    <cacheHierarchy uniqueName="[Calendar_Clean].[Month_Start]" caption="Month_Start" attribute="1" time="1" defaultMemberUniqueName="[Calendar_Clean].[Month_Start].[All]" allUniqueName="[Calendar_Clean].[Month_Start].[All]" dimensionUniqueName="[Calendar_Clean]" displayFolder="" count="2" memberValueDatatype="7" unbalanced="0"/>
    <cacheHierarchy uniqueName="[Calendar_Clean].[Year_Month]" caption="Year_Month" attribute="1" defaultMemberUniqueName="[Calendar_Clean].[Year_Month].[All]" allUniqueName="[Calendar_Clean].[Year_Month].[All]" dimensionUniqueName="[Calendar_Clean]" displayFolder="" count="2" memberValueDatatype="130" unbalanced="0">
      <fieldsUsage count="2">
        <fieldUsage x="-1"/>
        <fieldUsage x="0"/>
      </fieldsUsage>
    </cacheHierarchy>
    <cacheHierarchy uniqueName="[Calendar_Clean].[Year_Month_Sort]" caption="Year_Month_Sort" attribute="1" defaultMemberUniqueName="[Calendar_Clean].[Year_Month_Sort].[All]" allUniqueName="[Calendar_Clean].[Year_Month_Sort].[All]" dimensionUniqueName="[Calendar_Clean]" displayFolder="" count="2" memberValueDatatype="20" unbalanced="0"/>
    <cacheHierarchy uniqueName="[Inventory_Clean].[Store_ID]" caption="Store_ID" attribute="1" defaultMemberUniqueName="[Inventory_Clean].[Store_ID].[All]" allUniqueName="[Inventory_Clean].[Store_ID].[All]" dimensionUniqueName="[Inventory_Clean]" displayFolder="" count="2" memberValueDatatype="20" unbalanced="0"/>
    <cacheHierarchy uniqueName="[Inventory_Clean].[Product_ID]" caption="Product_ID" attribute="1" defaultMemberUniqueName="[Inventory_Clean].[Product_ID].[All]" allUniqueName="[Inventory_Clean].[Product_ID].[All]" dimensionUniqueName="[Inventory_Clean]" displayFolder="" count="2" memberValueDatatype="20" unbalanced="0"/>
    <cacheHierarchy uniqueName="[Inventory_Clean].[Stock_On_Hand]" caption="Stock_On_Hand" attribute="1" defaultMemberUniqueName="[Inventory_Clean].[Stock_On_Hand].[All]" allUniqueName="[Inventory_Clean].[Stock_On_Hand].[All]" dimensionUniqueName="[Inventory_Clean]" displayFolder="" count="2" memberValueDatatype="20" unbalanced="0"/>
    <cacheHierarchy uniqueName="[Inventory_Clean].[Product_Cost]" caption="Product_Cost" attribute="1" defaultMemberUniqueName="[Inventory_Clean].[Product_Cost].[All]" allUniqueName="[Inventory_Clean].[Product_Cost].[All]" dimensionUniqueName="[Inventory_Clean]" displayFolder="" count="2" memberValueDatatype="6" unbalanced="0"/>
    <cacheHierarchy uniqueName="[Inventory_Clean].[Product_Price]" caption="Product_Price" attribute="1" defaultMemberUniqueName="[Inventory_Clean].[Product_Price].[All]" allUniqueName="[Inventory_Clean].[Product_Price].[All]" dimensionUniqueName="[Inventory_Clean]" displayFolder="" count="2"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2"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2"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2" memberValueDatatype="6" unbalanced="0"/>
    <cacheHierarchy uniqueName="[Products_Clean].[Product_ID]" caption="Product_ID" attribute="1" defaultMemberUniqueName="[Products_Clean].[Product_ID].[All]" allUniqueName="[Products_Clean].[Product_ID].[All]" dimensionUniqueName="[Products_Clean]" displayFolder="" count="2" memberValueDatatype="20" unbalanced="0"/>
    <cacheHierarchy uniqueName="[Products_Clean].[Product_Name]" caption="Product_Name" attribute="1" defaultMemberUniqueName="[Products_Clean].[Product_Name].[All]" allUniqueName="[Products_Clean].[Product_Name].[All]" dimensionUniqueName="[Products_Clean]" displayFolder="" count="2"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cacheHierarchy uniqueName="[Products_Clean].[Product_Cost]" caption="Product_Cost" attribute="1" defaultMemberUniqueName="[Products_Clean].[Product_Cost].[All]" allUniqueName="[Products_Clean].[Product_Cost].[All]" dimensionUniqueName="[Products_Clean]" displayFolder="" count="2" memberValueDatatype="6" unbalanced="0"/>
    <cacheHierarchy uniqueName="[Products_Clean].[Product_Price]" caption="Product_Price" attribute="1" defaultMemberUniqueName="[Products_Clean].[Product_Price].[All]" allUniqueName="[Products_Clean].[Product_Price].[All]" dimensionUniqueName="[Products_Clean]" displayFolder="" count="2" memberValueDatatype="6" unbalanced="0"/>
    <cacheHierarchy uniqueName="[Products_Clean].[Unit_Profit]" caption="Unit_Profit" attribute="1" defaultMemberUniqueName="[Products_Clean].[Unit_Profit].[All]" allUniqueName="[Products_Clean].[Unit_Profit].[All]" dimensionUniqueName="[Products_Clean]" displayFolder="" count="2" memberValueDatatype="6" unbalanced="0"/>
    <cacheHierarchy uniqueName="[Products_Clean].[Unit_Margin]" caption="Unit_Margin" attribute="1" defaultMemberUniqueName="[Products_Clean].[Unit_Margin].[All]" allUniqueName="[Products_Clean].[Unit_Margin].[All]" dimensionUniqueName="[Products_Clean]" displayFolder="" count="2" memberValueDatatype="5" unbalanced="0"/>
    <cacheHierarchy uniqueName="[Sales_Clean].[Sale_ID]" caption="Sale_ID" attribute="1" defaultMemberUniqueName="[Sales_Clean].[Sale_ID].[All]" allUniqueName="[Sales_Clean].[Sale_ID].[All]" dimensionUniqueName="[Sales_Clean]" displayFolder="" count="2" memberValueDatatype="20" unbalanced="0"/>
    <cacheHierarchy uniqueName="[Sales_Clean].[Date]" caption="Date" attribute="1" time="1" defaultMemberUniqueName="[Sales_Clean].[Date].[All]" allUniqueName="[Sales_Clean].[Date].[All]" dimensionUniqueName="[Sales_Clean]" displayFolder="" count="2" memberValueDatatype="7" unbalanced="0"/>
    <cacheHierarchy uniqueName="[Sales_Clean].[Store_ID]" caption="Store_ID" attribute="1" defaultMemberUniqueName="[Sales_Clean].[Store_ID].[All]" allUniqueName="[Sales_Clean].[Store_ID].[All]" dimensionUniqueName="[Sales_Clean]" displayFolder="" count="2" memberValueDatatype="20" unbalanced="0"/>
    <cacheHierarchy uniqueName="[Sales_Clean].[Product_ID]" caption="Product_ID" attribute="1" defaultMemberUniqueName="[Sales_Clean].[Product_ID].[All]" allUniqueName="[Sales_Clean].[Product_ID].[All]" dimensionUniqueName="[Sales_Clean]" displayFolder="" count="2" memberValueDatatype="20" unbalanced="0"/>
    <cacheHierarchy uniqueName="[Sales_Clean].[Units]" caption="Units" attribute="1" defaultMemberUniqueName="[Sales_Clean].[Units].[All]" allUniqueName="[Sales_Clean].[Units].[All]" dimensionUniqueName="[Sales_Clean]" displayFolder="" count="2" memberValueDatatype="20" unbalanced="0"/>
    <cacheHierarchy uniqueName="[Sales_Clean].[Product_Cost]" caption="Product_Cost" attribute="1" defaultMemberUniqueName="[Sales_Clean].[Product_Cost].[All]" allUniqueName="[Sales_Clean].[Product_Cost].[All]" dimensionUniqueName="[Sales_Clean]" displayFolder="" count="2" memberValueDatatype="6" unbalanced="0"/>
    <cacheHierarchy uniqueName="[Sales_Clean].[Product_Price]" caption="Product_Price" attribute="1" defaultMemberUniqueName="[Sales_Clean].[Product_Price].[All]" allUniqueName="[Sales_Clean].[Product_Price].[All]" dimensionUniqueName="[Sales_Clean]" displayFolder="" count="2" memberValueDatatype="6" unbalanced="0"/>
    <cacheHierarchy uniqueName="[Sales_Clean].[Sales_Revenue]" caption="Sales_Revenue" attribute="1" defaultMemberUniqueName="[Sales_Clean].[Sales_Revenue].[All]" allUniqueName="[Sales_Clean].[Sales_Revenue].[All]" dimensionUniqueName="[Sales_Clean]" displayFolder="" count="2" memberValueDatatype="6" unbalanced="0"/>
    <cacheHierarchy uniqueName="[Sales_Clean].[Total_Cost]" caption="Total_Cost" attribute="1" defaultMemberUniqueName="[Sales_Clean].[Total_Cost].[All]" allUniqueName="[Sales_Clean].[Total_Cost].[All]" dimensionUniqueName="[Sales_Clean]" displayFolder="" count="2" memberValueDatatype="6" unbalanced="0"/>
    <cacheHierarchy uniqueName="[Sales_Clean].[Gross_Profit]" caption="Gross_Profit" attribute="1" defaultMemberUniqueName="[Sales_Clean].[Gross_Profit].[All]" allUniqueName="[Sales_Clean].[Gross_Profit].[All]" dimensionUniqueName="[Sales_Clean]" displayFolder="" count="2" memberValueDatatype="6" unbalanced="0"/>
    <cacheHierarchy uniqueName="[Sales_Clean].[Profit_Margin]" caption="Profit_Margin" attribute="1" defaultMemberUniqueName="[Sales_Clean].[Profit_Margin].[All]" allUniqueName="[Sales_Clean].[Profit_Margin].[All]" dimensionUniqueName="[Sales_Clean]" displayFolder="" count="2" memberValueDatatype="5" unbalanced="0"/>
    <cacheHierarchy uniqueName="[Stores_Clean].[Store_ID]" caption="Store_ID" attribute="1" defaultMemberUniqueName="[Stores_Clean].[Store_ID].[All]" allUniqueName="[Stores_Clean].[Store_ID].[All]" dimensionUniqueName="[Stores_Clean]" displayFolder="" count="2"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3"/>
      </fieldsUsage>
    </cacheHierarchy>
    <cacheHierarchy uniqueName="[Stores_Clean].[Store_City]" caption="Store_City" attribute="1" defaultMemberUniqueName="[Stores_Clean].[Store_City].[All]" allUniqueName="[Stores_Clean].[Store_City].[All]" dimensionUniqueName="[Stores_Clean]" displayFolder="" count="2" memberValueDatatype="130" unbalanced="0"/>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2" memberValueDatatype="7" unbalanced="0"/>
    <cacheHierarchy uniqueName="[Stores_Clean].[Store_Open_Year]" caption="Store_Open_Year" attribute="1" defaultMemberUniqueName="[Stores_Clean].[Store_Open_Year].[All]" allUniqueName="[Stores_Clean].[Store_Open_Year].[All]" dimensionUniqueName="[Stores_Clean]" displayFolder="" count="2" memberValueDatatype="20" unbalanced="0"/>
    <cacheHierarchy uniqueName="[Measures].[Total Sales]" caption="Total Sales" measure="1" displayFolder="" measureGroup="Sales_Clean" count="0" oneField="1">
      <fieldsUsage count="1">
        <fieldUsage x="1"/>
      </fieldsUsage>
    </cacheHierarchy>
    <cacheHierarchy uniqueName="[Measures].[Total Cost]" caption="Total Cost" measure="1" displayFolder="" measureGroup="Sales_Clean" count="0"/>
    <cacheHierarchy uniqueName="[Measures].[Gross Profit]" caption="Gross Profit" measure="1" displayFolder="" measureGroup="Sales_Clean" count="0" oneField="1">
      <fieldsUsage count="1">
        <fieldUsage x="2"/>
      </fieldsUsage>
    </cacheHierarchy>
    <cacheHierarchy uniqueName="[Measures].[Profit Margin]" caption="Profit Margin" measure="1" displayFolder="" measureGroup="Sales_Clean" count="0"/>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39414814812" backgroundQuery="1" createdVersion="7" refreshedVersion="7" minRefreshableVersion="3" recordCount="0" supportSubquery="1" supportAdvancedDrill="1" xr:uid="{8BE6EE6E-935C-4D91-850F-AA03CE32264C}">
  <cacheSource type="external" connectionId="13"/>
  <cacheFields count="7">
    <cacheField name="[Measures].[Total Sales]" caption="Total Sales" numFmtId="0" hierarchy="40" level="32767"/>
    <cacheField name="[Measures].[Total Cost]" caption="Total Cost" numFmtId="0" hierarchy="41" level="32767"/>
    <cacheField name="[Measures].[Gross Profit]" caption="Gross Profit" numFmtId="0" hierarchy="42" level="32767"/>
    <cacheField name="[Measures].[Profit Margin]" caption="Profit Margin" numFmtId="0" hierarchy="43" level="32767"/>
    <cacheField name="[Measures].[Units Sold]" caption="Units Sold" numFmtId="0" hierarchy="44" level="32767"/>
    <cacheField name="[Measures].[Transaction Count]" caption="Transaction Count" numFmtId="0" hierarchy="45" level="32767"/>
    <cacheField name="[Stores_Clean].[Store_Name].[Store_Name]" caption="Store_Name" numFmtId="0" hierarchy="35" level="1">
      <sharedItems containsSemiMixedTypes="0" containsNonDate="0" containsString="0"/>
    </cacheField>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2"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6"/>
      </fieldsUsage>
    </cacheHierarchy>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oneField="1">
      <fieldsUsage count="1">
        <fieldUsage x="0"/>
      </fieldsUsage>
    </cacheHierarchy>
    <cacheHierarchy uniqueName="[Measures].[Total Cost]" caption="Total Cost" measure="1" displayFolder="" measureGroup="Sales_Clean" count="0" oneField="1">
      <fieldsUsage count="1">
        <fieldUsage x="1"/>
      </fieldsUsage>
    </cacheHierarchy>
    <cacheHierarchy uniqueName="[Measures].[Gross Profit]" caption="Gross Profit" measure="1" displayFolder="" measureGroup="Sales_Clean" count="0" oneField="1">
      <fieldsUsage count="1">
        <fieldUsage x="2"/>
      </fieldsUsage>
    </cacheHierarchy>
    <cacheHierarchy uniqueName="[Measures].[Profit Margin]" caption="Profit Margin" measure="1" displayFolder="" measureGroup="Sales_Clean" count="0" oneField="1">
      <fieldsUsage count="1">
        <fieldUsage x="3"/>
      </fieldsUsage>
    </cacheHierarchy>
    <cacheHierarchy uniqueName="[Measures].[Units Sold]" caption="Units Sold" measure="1" displayFolder="" measureGroup="Sales_Clean" count="0" oneField="1">
      <fieldsUsage count="1">
        <fieldUsage x="4"/>
      </fieldsUsage>
    </cacheHierarchy>
    <cacheHierarchy uniqueName="[Measures].[Transaction Count]" caption="Transaction Count" measure="1" displayFolder="" measureGroup="Sales_Clean" count="0" oneField="1">
      <fieldsUsage count="1">
        <fieldUsage x="5"/>
      </fieldsUsage>
    </cacheHierarchy>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39415740743" backgroundQuery="1" createdVersion="7" refreshedVersion="7" minRefreshableVersion="3" recordCount="0" supportSubquery="1" supportAdvancedDrill="1" xr:uid="{14AD12DB-C4C0-4589-B4CE-82D7144BDE53}">
  <cacheSource type="external" connectionId="13"/>
  <cacheFields count="5">
    <cacheField name="[Products_Clean].[Product_Category].[Product_Category]" caption="Product_Category" numFmtId="0" hierarchy="18" level="1">
      <sharedItems count="5">
        <s v="Art &amp; Crafts"/>
        <s v="Electronics"/>
        <s v="Games"/>
        <s v="Sports &amp; Outdoors"/>
        <s v="Toys"/>
      </sharedItems>
    </cacheField>
    <cacheField name="[Measures].[Total Sales]" caption="Total Sales" numFmtId="0" hierarchy="40" level="32767"/>
    <cacheField name="[Measures].[Gross Profit]" caption="Gross Profit" numFmtId="0" hierarchy="42" level="32767"/>
    <cacheField name="[Measures].[Profit Margin]" caption="Profit Margin" numFmtId="0" hierarchy="43" level="32767"/>
    <cacheField name="[Stores_Clean].[Store_Name].[Store_Name]" caption="Store_Name" numFmtId="0" hierarchy="35" level="1">
      <sharedItems containsSemiMixedTypes="0" containsNonDate="0" containsString="0"/>
    </cacheField>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2"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fieldsUsage count="2">
        <fieldUsage x="-1"/>
        <fieldUsage x="0"/>
      </fieldsUsage>
    </cacheHierarchy>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4"/>
      </fieldsUsage>
    </cacheHierarchy>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oneField="1">
      <fieldsUsage count="1">
        <fieldUsage x="1"/>
      </fieldsUsage>
    </cacheHierarchy>
    <cacheHierarchy uniqueName="[Measures].[Total Cost]" caption="Total Cost" measure="1" displayFolder="" measureGroup="Sales_Clean" count="0"/>
    <cacheHierarchy uniqueName="[Measures].[Gross Profit]" caption="Gross Profit" measure="1" displayFolder="" measureGroup="Sales_Clean" count="0" oneField="1">
      <fieldsUsage count="1">
        <fieldUsage x="2"/>
      </fieldsUsage>
    </cacheHierarchy>
    <cacheHierarchy uniqueName="[Measures].[Profit Margin]" caption="Profit Margin" measure="1" displayFolder="" measureGroup="Sales_Clean" count="0" oneField="1">
      <fieldsUsage count="1">
        <fieldUsage x="3"/>
      </fieldsUsage>
    </cacheHierarchy>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39416203705" backgroundQuery="1" createdVersion="7" refreshedVersion="7" minRefreshableVersion="3" recordCount="0" supportSubquery="1" supportAdvancedDrill="1" xr:uid="{8AB9FC4D-001D-4C13-948C-E093C1014EE9}">
  <cacheSource type="external" connectionId="13"/>
  <cacheFields count="4">
    <cacheField name="[Stores_Clean].[Store_City].[Store_City]" caption="Store_City" numFmtId="0" hierarchy="36" level="1">
      <sharedItems count="29">
        <s v="Aguascalientes"/>
        <s v="Campeche"/>
        <s v="Chetumal"/>
        <s v="Chihuahua"/>
        <s v="Chilpancingo"/>
        <s v="Ciudad Victoria"/>
        <s v="Cuernavaca"/>
        <s v="Cuidad de Mexico"/>
        <s v="Culiacan"/>
        <s v="Durango"/>
        <s v="Guadalajara"/>
        <s v="Guanajuato"/>
        <s v="Hermosillo"/>
        <s v="La Paz"/>
        <s v="Merida"/>
        <s v="Mexicali"/>
        <s v="Monterrey"/>
        <s v="Morelia"/>
        <s v="Oaxaca"/>
        <s v="Pachuca"/>
        <s v="Puebla"/>
        <s v="Saltillo"/>
        <s v="San Luis Potosi"/>
        <s v="Santiago"/>
        <s v="Toluca"/>
        <s v="Tuxtla Gutierrez"/>
        <s v="Villahermosa"/>
        <s v="Xalapa"/>
        <s v="Zacatecas"/>
      </sharedItems>
    </cacheField>
    <cacheField name="[Measures].[Total Sales]" caption="Total Sales" numFmtId="0" hierarchy="40" level="32767"/>
    <cacheField name="[Measures].[Gross Profit]" caption="Gross Profit" numFmtId="0" hierarchy="42" level="32767"/>
    <cacheField name="[Stores_Clean].[Store_Name].[Store_Name]" caption="Store_Name" numFmtId="0" hierarchy="35" level="1">
      <sharedItems containsSemiMixedTypes="0" containsNonDate="0" containsString="0"/>
    </cacheField>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2"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3"/>
      </fieldsUsage>
    </cacheHierarchy>
    <cacheHierarchy uniqueName="[Stores_Clean].[Store_City]" caption="Store_City" attribute="1" defaultMemberUniqueName="[Stores_Clean].[Store_City].[All]" allUniqueName="[Stores_Clean].[Store_City].[All]" dimensionUniqueName="[Stores_Clean]" displayFolder="" count="2" memberValueDatatype="130" unbalanced="0">
      <fieldsUsage count="2">
        <fieldUsage x="-1"/>
        <fieldUsage x="0"/>
      </fieldsUsage>
    </cacheHierarchy>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oneField="1">
      <fieldsUsage count="1">
        <fieldUsage x="1"/>
      </fieldsUsage>
    </cacheHierarchy>
    <cacheHierarchy uniqueName="[Measures].[Total Cost]" caption="Total Cost" measure="1" displayFolder="" measureGroup="Sales_Clean" count="0"/>
    <cacheHierarchy uniqueName="[Measures].[Gross Profit]" caption="Gross Profit" measure="1" displayFolder="" measureGroup="Sales_Clean" count="0" oneField="1">
      <fieldsUsage count="1">
        <fieldUsage x="2"/>
      </fieldsUsage>
    </cacheHierarchy>
    <cacheHierarchy uniqueName="[Measures].[Profit Margin]" caption="Profit Margin" measure="1" displayFolder="" measureGroup="Sales_Clean" count="0"/>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39415162035" backgroundQuery="1" createdVersion="7" refreshedVersion="7" minRefreshableVersion="3" recordCount="0" supportSubquery="1" supportAdvancedDrill="1" xr:uid="{360F151B-FD18-4E64-A291-78CC65B9B7BA}">
  <cacheSource type="external" connectionId="13"/>
  <cacheFields count="3">
    <cacheField name="[Products_Clean].[Product_Category].[Product_Category]" caption="Product_Category" numFmtId="0" hierarchy="18" level="1">
      <sharedItems count="5">
        <s v="Art &amp; Crafts"/>
        <s v="Electronics"/>
        <s v="Games"/>
        <s v="Sports &amp; Outdoors"/>
        <s v="Toys"/>
      </sharedItems>
    </cacheField>
    <cacheField name="[Measures].[Inventory Value]" caption="Inventory Value" numFmtId="0" hierarchy="46" level="32767"/>
    <cacheField name="[Stores_Clean].[Store_Name].[Store_Name]" caption="Store_Name" numFmtId="0" hierarchy="35" level="1">
      <sharedItems containsSemiMixedTypes="0" containsNonDate="0" containsString="0"/>
    </cacheField>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0"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fieldsUsage count="2">
        <fieldUsage x="-1"/>
        <fieldUsage x="0"/>
      </fieldsUsage>
    </cacheHierarchy>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2"/>
      </fieldsUsage>
    </cacheHierarchy>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cacheHierarchy uniqueName="[Measures].[Total Cost]" caption="Total Cost" measure="1" displayFolder="" measureGroup="Sales_Clean" count="0"/>
    <cacheHierarchy uniqueName="[Measures].[Gross Profit]" caption="Gross Profit" measure="1" displayFolder="" measureGroup="Sales_Clean" count="0"/>
    <cacheHierarchy uniqueName="[Measures].[Profit Margin]" caption="Profit Margin" measure="1" displayFolder="" measureGroup="Sales_Clean" count="0"/>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oneField="1">
      <fieldsUsage count="1">
        <fieldUsage x="1"/>
      </fieldsUsage>
    </cacheHierarchy>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39416666667" backgroundQuery="1" createdVersion="7" refreshedVersion="7" minRefreshableVersion="3" recordCount="0" supportSubquery="1" supportAdvancedDrill="1" xr:uid="{27590665-1A23-463F-A6B3-6E486E2D34E3}">
  <cacheSource type="external" connectionId="13"/>
  <cacheFields count="5">
    <cacheField name="[Products_Clean].[Product_Name].[Product_Name]" caption="Product_Name" numFmtId="0" hierarchy="17" level="1">
      <sharedItems count="35">
        <s v="Action Figure"/>
        <s v="Animal Figures"/>
        <s v="Barrel O' Slime"/>
        <s v="Chutes &amp; Ladders"/>
        <s v="Classic Dominoes"/>
        <s v="Colorbuds"/>
        <s v="Dart Gun"/>
        <s v="Deck Of Cards"/>
        <s v="Dino Egg"/>
        <s v="Dinosaur Figures"/>
        <s v="Etch A Sketch"/>
        <s v="Foam Disk Launcher"/>
        <s v="Gamer Headphones"/>
        <s v="Glass Marbles"/>
        <s v="Hot Wheels 5-Pack"/>
        <s v="Jenga"/>
        <s v="Kids Makeup Kit"/>
        <s v="Lego Bricks"/>
        <s v="Magic Sand"/>
        <s v="Mini Basketball Hoop"/>
        <s v="Mini Ping Pong Set"/>
        <s v="Monopoly"/>
        <s v="Mr. Potatohead"/>
        <s v="Nerf Gun"/>
        <s v="PlayDoh Can"/>
        <s v="PlayDoh Playset"/>
        <s v="PlayDoh Toolkit"/>
        <s v="Playfoam"/>
        <s v="Plush Pony"/>
        <s v="Rubik's Cube"/>
        <s v="Splash Balls"/>
        <s v="Supersoaker Water Gun"/>
        <s v="Teddy Bear"/>
        <s v="Toy Robot"/>
        <s v="Uno Card Game"/>
      </sharedItems>
    </cacheField>
    <cacheField name="[Measures].[Total Sales]" caption="Total Sales" numFmtId="0" hierarchy="40" level="32767"/>
    <cacheField name="[Measures].[Gross Profit]" caption="Gross Profit" numFmtId="0" hierarchy="42" level="32767"/>
    <cacheField name="[Measures].[Units Sold]" caption="Units Sold" numFmtId="0" hierarchy="44" level="32767"/>
    <cacheField name="[Stores_Clean].[Store_Name].[Store_Name]" caption="Store_Name" numFmtId="0" hierarchy="35" level="1">
      <sharedItems containsSemiMixedTypes="0" containsNonDate="0" containsString="0"/>
    </cacheField>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2"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2" memberValueDatatype="130" unbalanced="0">
      <fieldsUsage count="2">
        <fieldUsage x="-1"/>
        <fieldUsage x="0"/>
      </fieldsUsage>
    </cacheHierarchy>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4"/>
      </fieldsUsage>
    </cacheHierarchy>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oneField="1">
      <fieldsUsage count="1">
        <fieldUsage x="1"/>
      </fieldsUsage>
    </cacheHierarchy>
    <cacheHierarchy uniqueName="[Measures].[Total Cost]" caption="Total Cost" measure="1" displayFolder="" measureGroup="Sales_Clean" count="0"/>
    <cacheHierarchy uniqueName="[Measures].[Gross Profit]" caption="Gross Profit" measure="1" displayFolder="" measureGroup="Sales_Clean" count="0" oneField="1">
      <fieldsUsage count="1">
        <fieldUsage x="2"/>
      </fieldsUsage>
    </cacheHierarchy>
    <cacheHierarchy uniqueName="[Measures].[Profit Margin]" caption="Profit Margin" measure="1" displayFolder="" measureGroup="Sales_Clean" count="0"/>
    <cacheHierarchy uniqueName="[Measures].[Units Sold]" caption="Units Sold" measure="1" displayFolder="" measureGroup="Sales_Clean" count="0" oneField="1">
      <fieldsUsage count="1">
        <fieldUsage x="3"/>
      </fieldsUsage>
    </cacheHierarchy>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39417708336" backgroundQuery="1" createdVersion="7" refreshedVersion="7" minRefreshableVersion="3" recordCount="0" supportSubquery="1" supportAdvancedDrill="1" xr:uid="{B1874B0E-4C5F-4137-B9C2-1B9E954DB6C7}">
  <cacheSource type="external" connectionId="13"/>
  <cacheFields count="4">
    <cacheField name="[Stores_Clean].[Store_Name].[Store_Name]" caption="Store_Name" numFmtId="0" hierarchy="35" level="1">
      <sharedItems count="50">
        <s v="Maven Toys Aguascalientes 1"/>
        <s v="Maven Toys Campeche 1"/>
        <s v="Maven Toys Campeche 2"/>
        <s v="Maven Toys Chetumal 1"/>
        <s v="Maven Toys Chihuahua 1"/>
        <s v="Maven Toys Chihuahua 2"/>
        <s v="Maven Toys Chilpancingo 1"/>
        <s v="Maven Toys Ciudad de Mexico 1"/>
        <s v="Maven Toys Ciudad de Mexico 2"/>
        <s v="Maven Toys Ciudad de Mexico 3"/>
        <s v="Maven Toys Ciudad de Mexico 4"/>
        <s v="Maven Toys Ciudad Victoria 1"/>
        <s v="Maven Toys Cuernavaca 1"/>
        <s v="Maven Toys Culiacan 1"/>
        <s v="Maven Toys Durango 1"/>
        <s v="Maven Toys Guadalajara 1"/>
        <s v="Maven Toys Guadalajara 2"/>
        <s v="Maven Toys Guadalajara 3"/>
        <s v="Maven Toys Guadalajara 4"/>
        <s v="Maven Toys Guanajuato 1"/>
        <s v="Maven Toys Guanajuato 2"/>
        <s v="Maven Toys Guanajuato 3"/>
        <s v="Maven Toys Hermosillo 1"/>
        <s v="Maven Toys Hermosillo 2"/>
        <s v="Maven Toys Hermosillo 3"/>
        <s v="Maven Toys La Paz 1"/>
        <s v="Maven Toys Merida 1"/>
        <s v="Maven Toys Mexicali 1"/>
        <s v="Maven Toys Mexicali 2"/>
        <s v="Maven Toys Monterrey 1"/>
        <s v="Maven Toys Monterrey 2"/>
        <s v="Maven Toys Monterrey 3"/>
        <s v="Maven Toys Monterrey 4"/>
        <s v="Maven Toys Morelia 1"/>
        <s v="Maven Toys Oaxaca 1"/>
        <s v="Maven Toys Pachuca 1"/>
        <s v="Maven Toys Puebla 1"/>
        <s v="Maven Toys Puebla 2"/>
        <s v="Maven Toys Puebla 3"/>
        <s v="Maven Toys Saltillo 1"/>
        <s v="Maven Toys Saltillo 2"/>
        <s v="Maven Toys San Luis Potosi 1"/>
        <s v="Maven Toys Santiago 1"/>
        <s v="Maven Toys Toluca 1"/>
        <s v="Maven Toys Toluca 2"/>
        <s v="Maven Toys Tuxtla Gutierrez 1"/>
        <s v="Maven Toys Villahermosa 1"/>
        <s v="Maven Toys Xalapa 1"/>
        <s v="Maven Toys Xalapa 2"/>
        <s v="Maven Toys Zacatecas 1"/>
      </sharedItems>
    </cacheField>
    <cacheField name="[Measures].[Total Sales]" caption="Total Sales" numFmtId="0" hierarchy="40" level="32767"/>
    <cacheField name="[Measures].[Gross Profit]" caption="Gross Profit" numFmtId="0" hierarchy="42" level="32767"/>
    <cacheField name="[Measures].[Profit Margin]" caption="Profit Margin" numFmtId="0" hierarchy="43" level="32767"/>
  </cacheFields>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2"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fieldsUsage count="2">
        <fieldUsage x="-1"/>
        <fieldUsage x="0"/>
      </fieldsUsage>
    </cacheHierarchy>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oneField="1">
      <fieldsUsage count="1">
        <fieldUsage x="1"/>
      </fieldsUsage>
    </cacheHierarchy>
    <cacheHierarchy uniqueName="[Measures].[Total Cost]" caption="Total Cost" measure="1" displayFolder="" measureGroup="Sales_Clean" count="0"/>
    <cacheHierarchy uniqueName="[Measures].[Gross Profit]" caption="Gross Profit" measure="1" displayFolder="" measureGroup="Sales_Clean" count="0" oneField="1">
      <fieldsUsage count="1">
        <fieldUsage x="2"/>
      </fieldsUsage>
    </cacheHierarchy>
    <cacheHierarchy uniqueName="[Measures].[Profit Margin]" caption="Profit Margin" measure="1" displayFolder="" measureGroup="Sales_Clean" count="0" oneField="1">
      <fieldsUsage count="1">
        <fieldUsage x="3"/>
      </fieldsUsage>
    </cacheHierarchy>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dimensions count="6">
    <dimension name="Calendar_Clean" uniqueName="[Calendar_Clean]" caption="Calendar_Clean"/>
    <dimension name="Inventory_Clean" uniqueName="[Inventory_Clean]" caption="Inventory_Clean"/>
    <dimension measure="1" name="Measures" uniqueName="[Measures]" caption="Measures"/>
    <dimension name="Products_Clean" uniqueName="[Products_Clean]" caption="Products_Clean"/>
    <dimension name="Sales_Clean" uniqueName="[Sales_Clean]" caption="Sales_Clean"/>
    <dimension name="Stores_Clean" uniqueName="[Stores_Clean]" caption="Stores_Clean"/>
  </dimensions>
  <measureGroups count="5">
    <measureGroup name="Calendar_Clean" caption="Calendar_Clean"/>
    <measureGroup name="Inventory_Clean" caption="Inventory_Clean"/>
    <measureGroup name="Products_Clean" caption="Products_Clean"/>
    <measureGroup name="Sales_Clean" caption="Sales_Clean"/>
    <measureGroup name="Stores_Clean" caption="Stores_Clean"/>
  </measureGroups>
  <maps count="10">
    <map measureGroup="0" dimension="0"/>
    <map measureGroup="1" dimension="1"/>
    <map measureGroup="1" dimension="3"/>
    <map measureGroup="1" dimension="5"/>
    <map measureGroup="2" dimension="3"/>
    <map measureGroup="3" dimension="0"/>
    <map measureGroup="3" dimension="3"/>
    <map measureGroup="3" dimension="4"/>
    <map measureGroup="3" dimension="5"/>
    <map measureGroup="4"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ell" refreshedDate="46295.701530787039" createdVersion="7" refreshedVersion="7" minRefreshableVersion="3" recordCount="15" xr:uid="{E4EC3852-E007-4AAA-80A4-2911F15045E7}">
  <cacheSource type="worksheet">
    <worksheetSource name="tblForecast"/>
  </cacheSource>
  <cacheFields count="11">
    <cacheField name="Forecast_Month" numFmtId="165">
      <sharedItems containsSemiMixedTypes="0" containsNonDate="0" containsDate="1" containsString="0" minDate="2023-10-01T00:00:00" maxDate="2023-12-02T00:00:00" count="3">
        <d v="2023-10-01T00:00:00"/>
        <d v="2023-11-01T00:00:00"/>
        <d v="2023-12-01T00:00:00"/>
      </sharedItems>
    </cacheField>
    <cacheField name="Category" numFmtId="0">
      <sharedItems/>
    </cacheField>
    <cacheField name="Baseline_Sales" numFmtId="168">
      <sharedItems containsSemiMixedTypes="0" containsString="0" containsNumber="1" minValue="71357.509999999354" maxValue="264721.81999997102"/>
    </cacheField>
    <cacheField name="Selected_Growth" numFmtId="9">
      <sharedItems containsSemiMixedTypes="0" containsString="0" containsNumber="1" minValue="0.12" maxValue="0.12"/>
    </cacheField>
    <cacheField name="Forecasted_Sales" numFmtId="168">
      <sharedItems containsSemiMixedTypes="0" containsString="0" containsNumber="1" minValue="79920.411199999289" maxValue="296488.43839996756"/>
    </cacheField>
    <cacheField name="Baseline_Cost" numFmtId="0">
      <sharedItems containsSemiMixedTypes="0" containsString="0" containsNumber="1" minValue="54296.509999998656" maxValue="207278.81999998473"/>
    </cacheField>
    <cacheField name="Cost_Change" numFmtId="9">
      <sharedItems containsSemiMixedTypes="0" containsString="0" containsNumber="1" minValue="-0.01" maxValue="-0.01"/>
    </cacheField>
    <cacheField name="Forecasted_Cost" numFmtId="168">
      <sharedItems containsSemiMixedTypes="0" containsString="0" containsNumber="1" minValue="60203.97028799852" maxValue="229830.7556159831"/>
    </cacheField>
    <cacheField name="Forecasted_Profit" numFmtId="168">
      <sharedItems containsSemiMixedTypes="0" containsString="0" containsNumber="1" minValue="19716.440912000769" maxValue="66657.682783984463"/>
    </cacheField>
    <cacheField name="Forecasted_Margin" numFmtId="10">
      <sharedItems containsSemiMixedTypes="0" containsString="0" containsNumber="1" minValue="0.21704552097251728" maxValue="0.44058379830784083"/>
    </cacheField>
    <cacheField name="Scenario" numFmtId="0">
      <sharedItems/>
    </cacheField>
  </cacheFields>
  <extLst>
    <ext xmlns:x14="http://schemas.microsoft.com/office/spreadsheetml/2009/9/main" uri="{725AE2AE-9491-48be-B2B4-4EB974FC3084}">
      <x14:pivotCacheDefinition/>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Dell" refreshedDate="46295.506838078705" backgroundQuery="1" createdVersion="3" refreshedVersion="7" minRefreshableVersion="3" recordCount="0" supportSubquery="1" supportAdvancedDrill="1" xr:uid="{02814E7C-D419-4BC0-861A-CE2EBAF3E198}">
  <cacheSource type="external" connectionId="13">
    <extLst>
      <ext xmlns:x14="http://schemas.microsoft.com/office/spreadsheetml/2009/9/main" uri="{F057638F-6D5F-4e77-A914-E7F072B9BCA8}">
        <x14:sourceConnection name="ThisWorkbookDataModel"/>
      </ext>
    </extLst>
  </cacheSource>
  <cacheFields count="0"/>
  <cacheHierarchies count="57">
    <cacheHierarchy uniqueName="[Calendar_Clean].[Date]" caption="Date" attribute="1" time="1" defaultMemberUniqueName="[Calendar_Clean].[Date].[All]" allUniqueName="[Calendar_Clean].[Date].[All]" dimensionUniqueName="[Calendar_Clean]" displayFolder="" count="0" memberValueDatatype="7" unbalanced="0"/>
    <cacheHierarchy uniqueName="[Calendar_Clean].[Year]" caption="Year" attribute="1" defaultMemberUniqueName="[Calendar_Clean].[Year].[All]" allUniqueName="[Calendar_Clean].[Year].[All]" dimensionUniqueName="[Calendar_Clean]" displayFolder="" count="2" memberValueDatatype="20" unbalanced="0"/>
    <cacheHierarchy uniqueName="[Calendar_Clean].[Month_Number]" caption="Month_Number" attribute="1" defaultMemberUniqueName="[Calendar_Clean].[Month_Number].[All]" allUniqueName="[Calendar_Clean].[Month_Number].[All]" dimensionUniqueName="[Calendar_Clean]" displayFolder="" count="0" memberValueDatatype="20" unbalanced="0"/>
    <cacheHierarchy uniqueName="[Calendar_Clean].[Month_Name]" caption="Month_Name" attribute="1" defaultMemberUniqueName="[Calendar_Clean].[Month_Name].[All]" allUniqueName="[Calendar_Clean].[Month_Name].[All]" dimensionUniqueName="[Calendar_Clean]" displayFolder="" count="0" memberValueDatatype="130" unbalanced="0"/>
    <cacheHierarchy uniqueName="[Calendar_Clean].[Quarter_Number]" caption="Quarter_Number" attribute="1" defaultMemberUniqueName="[Calendar_Clean].[Quarter_Number].[All]" allUniqueName="[Calendar_Clean].[Quarter_Number].[All]" dimensionUniqueName="[Calendar_Clean]" displayFolder="" count="0" memberValueDatatype="20" unbalanced="0"/>
    <cacheHierarchy uniqueName="[Calendar_Clean].[Month_Start]" caption="Month_Start" attribute="1" time="1" defaultMemberUniqueName="[Calendar_Clean].[Month_Start].[All]" allUniqueName="[Calendar_Clean].[Month_Start].[All]" dimensionUniqueName="[Calendar_Clean]" displayFolder="" count="0" memberValueDatatype="7" unbalanced="0"/>
    <cacheHierarchy uniqueName="[Calendar_Clean].[Year_Month]" caption="Year_Month" attribute="1" defaultMemberUniqueName="[Calendar_Clean].[Year_Month].[All]" allUniqueName="[Calendar_Clean].[Year_Month].[All]" dimensionUniqueName="[Calendar_Clean]" displayFolder="" count="0" memberValueDatatype="130" unbalanced="0"/>
    <cacheHierarchy uniqueName="[Calendar_Clean].[Year_Month_Sort]" caption="Year_Month_Sort" attribute="1" defaultMemberUniqueName="[Calendar_Clean].[Year_Month_Sort].[All]" allUniqueName="[Calendar_Clean].[Year_Month_Sort].[All]" dimensionUniqueName="[Calendar_Clean]" displayFolder="" count="0" memberValueDatatype="20" unbalanced="0"/>
    <cacheHierarchy uniqueName="[Inventory_Clean].[Store_ID]" caption="Store_ID" attribute="1" defaultMemberUniqueName="[Inventory_Clean].[Store_ID].[All]" allUniqueName="[Inventory_Clean].[Store_ID].[All]" dimensionUniqueName="[Inventory_Clean]" displayFolder="" count="0" memberValueDatatype="20" unbalanced="0"/>
    <cacheHierarchy uniqueName="[Inventory_Clean].[Product_ID]" caption="Product_ID" attribute="1" defaultMemberUniqueName="[Inventory_Clean].[Product_ID].[All]" allUniqueName="[Inventory_Clean].[Product_ID].[All]" dimensionUniqueName="[Inventory_Clean]" displayFolder="" count="0" memberValueDatatype="20" unbalanced="0"/>
    <cacheHierarchy uniqueName="[Inventory_Clean].[Stock_On_Hand]" caption="Stock_On_Hand" attribute="1" defaultMemberUniqueName="[Inventory_Clean].[Stock_On_Hand].[All]" allUniqueName="[Inventory_Clean].[Stock_On_Hand].[All]" dimensionUniqueName="[Inventory_Clean]" displayFolder="" count="0" memberValueDatatype="20" unbalanced="0"/>
    <cacheHierarchy uniqueName="[Inventory_Clean].[Product_Cost]" caption="Product_Cost" attribute="1" defaultMemberUniqueName="[Inventory_Clean].[Product_Cost].[All]" allUniqueName="[Inventory_Clean].[Product_Cost].[All]" dimensionUniqueName="[Inventory_Clean]" displayFolder="" count="0" memberValueDatatype="6" unbalanced="0"/>
    <cacheHierarchy uniqueName="[Inventory_Clean].[Product_Price]" caption="Product_Price" attribute="1" defaultMemberUniqueName="[Inventory_Clean].[Product_Price].[All]" allUniqueName="[Inventory_Clean].[Product_Price].[All]" dimensionUniqueName="[Inventory_Clean]" displayFolder="" count="0" memberValueDatatype="6" unbalanced="0"/>
    <cacheHierarchy uniqueName="[Inventory_Clean].[Inventory_Value]" caption="Inventory_Value" attribute="1" defaultMemberUniqueName="[Inventory_Clean].[Inventory_Value].[All]" allUniqueName="[Inventory_Clean].[Inventory_Value].[All]" dimensionUniqueName="[Inventory_Clean]" displayFolder="" count="0" memberValueDatatype="6" unbalanced="0"/>
    <cacheHierarchy uniqueName="[Inventory_Clean].[Potential_Retail_Value]" caption="Potential_Retail_Value" attribute="1" defaultMemberUniqueName="[Inventory_Clean].[Potential_Retail_Value].[All]" allUniqueName="[Inventory_Clean].[Potential_Retail_Value].[All]" dimensionUniqueName="[Inventory_Clean]" displayFolder="" count="0" memberValueDatatype="6" unbalanced="0"/>
    <cacheHierarchy uniqueName="[Inventory_Clean].[Potential_Inventory_Profit]" caption="Potential_Inventory_Profit" attribute="1" defaultMemberUniqueName="[Inventory_Clean].[Potential_Inventory_Profit].[All]" allUniqueName="[Inventory_Clean].[Potential_Inventory_Profit].[All]" dimensionUniqueName="[Inventory_Clean]" displayFolder="" count="0" memberValueDatatype="6" unbalanced="0"/>
    <cacheHierarchy uniqueName="[Products_Clean].[Product_ID]" caption="Product_ID" attribute="1" defaultMemberUniqueName="[Products_Clean].[Product_ID].[All]" allUniqueName="[Products_Clean].[Product_ID].[All]" dimensionUniqueName="[Products_Clean]" displayFolder="" count="0" memberValueDatatype="20" unbalanced="0"/>
    <cacheHierarchy uniqueName="[Products_Clean].[Product_Name]" caption="Product_Name" attribute="1" defaultMemberUniqueName="[Products_Clean].[Product_Name].[All]" allUniqueName="[Products_Clean].[Product_Name].[All]" dimensionUniqueName="[Products_Clean]" displayFolder="" count="0" memberValueDatatype="130" unbalanced="0"/>
    <cacheHierarchy uniqueName="[Products_Clean].[Product_Category]" caption="Product_Category" attribute="1" defaultMemberUniqueName="[Products_Clean].[Product_Category].[All]" allUniqueName="[Products_Clean].[Product_Category].[All]" dimensionUniqueName="[Products_Clean]" displayFolder="" count="2" memberValueDatatype="130" unbalanced="0"/>
    <cacheHierarchy uniqueName="[Products_Clean].[Product_Cost]" caption="Product_Cost" attribute="1" defaultMemberUniqueName="[Products_Clean].[Product_Cost].[All]" allUniqueName="[Products_Clean].[Product_Cost].[All]" dimensionUniqueName="[Products_Clean]" displayFolder="" count="0" memberValueDatatype="6" unbalanced="0"/>
    <cacheHierarchy uniqueName="[Products_Clean].[Product_Price]" caption="Product_Price" attribute="1" defaultMemberUniqueName="[Products_Clean].[Product_Price].[All]" allUniqueName="[Products_Clean].[Product_Price].[All]" dimensionUniqueName="[Products_Clean]" displayFolder="" count="0" memberValueDatatype="6" unbalanced="0"/>
    <cacheHierarchy uniqueName="[Products_Clean].[Unit_Profit]" caption="Unit_Profit" attribute="1" defaultMemberUniqueName="[Products_Clean].[Unit_Profit].[All]" allUniqueName="[Products_Clean].[Unit_Profit].[All]" dimensionUniqueName="[Products_Clean]" displayFolder="" count="0" memberValueDatatype="6" unbalanced="0"/>
    <cacheHierarchy uniqueName="[Products_Clean].[Unit_Margin]" caption="Unit_Margin" attribute="1" defaultMemberUniqueName="[Products_Clean].[Unit_Margin].[All]" allUniqueName="[Products_Clean].[Unit_Margin].[All]" dimensionUniqueName="[Products_Clean]" displayFolder="" count="0" memberValueDatatype="5" unbalanced="0"/>
    <cacheHierarchy uniqueName="[Sales_Clean].[Sale_ID]" caption="Sale_ID" attribute="1" defaultMemberUniqueName="[Sales_Clean].[Sale_ID].[All]" allUniqueName="[Sales_Clean].[Sale_ID].[All]" dimensionUniqueName="[Sales_Clean]" displayFolder="" count="0" memberValueDatatype="20" unbalanced="0"/>
    <cacheHierarchy uniqueName="[Sales_Clean].[Date]" caption="Date" attribute="1" time="1" defaultMemberUniqueName="[Sales_Clean].[Date].[All]" allUniqueName="[Sales_Clean].[Date].[All]" dimensionUniqueName="[Sales_Clean]" displayFolder="" count="0" memberValueDatatype="7" unbalanced="0"/>
    <cacheHierarchy uniqueName="[Sales_Clean].[Store_ID]" caption="Store_ID" attribute="1" defaultMemberUniqueName="[Sales_Clean].[Store_ID].[All]" allUniqueName="[Sales_Clean].[Store_ID].[All]" dimensionUniqueName="[Sales_Clean]" displayFolder="" count="0" memberValueDatatype="20" unbalanced="0"/>
    <cacheHierarchy uniqueName="[Sales_Clean].[Product_ID]" caption="Product_ID" attribute="1" defaultMemberUniqueName="[Sales_Clean].[Product_ID].[All]" allUniqueName="[Sales_Clean].[Product_ID].[All]" dimensionUniqueName="[Sales_Clean]" displayFolder="" count="0" memberValueDatatype="20" unbalanced="0"/>
    <cacheHierarchy uniqueName="[Sales_Clean].[Units]" caption="Units" attribute="1" defaultMemberUniqueName="[Sales_Clean].[Units].[All]" allUniqueName="[Sales_Clean].[Units].[All]" dimensionUniqueName="[Sales_Clean]" displayFolder="" count="0" memberValueDatatype="20" unbalanced="0"/>
    <cacheHierarchy uniqueName="[Sales_Clean].[Product_Cost]" caption="Product_Cost" attribute="1" defaultMemberUniqueName="[Sales_Clean].[Product_Cost].[All]" allUniqueName="[Sales_Clean].[Product_Cost].[All]" dimensionUniqueName="[Sales_Clean]" displayFolder="" count="0" memberValueDatatype="6" unbalanced="0"/>
    <cacheHierarchy uniqueName="[Sales_Clean].[Product_Price]" caption="Product_Price" attribute="1" defaultMemberUniqueName="[Sales_Clean].[Product_Price].[All]" allUniqueName="[Sales_Clean].[Product_Price].[All]" dimensionUniqueName="[Sales_Clean]" displayFolder="" count="0" memberValueDatatype="6" unbalanced="0"/>
    <cacheHierarchy uniqueName="[Sales_Clean].[Sales_Revenue]" caption="Sales_Revenue" attribute="1" defaultMemberUniqueName="[Sales_Clean].[Sales_Revenue].[All]" allUniqueName="[Sales_Clean].[Sales_Revenue].[All]" dimensionUniqueName="[Sales_Clean]" displayFolder="" count="0" memberValueDatatype="6" unbalanced="0"/>
    <cacheHierarchy uniqueName="[Sales_Clean].[Total_Cost]" caption="Total_Cost" attribute="1" defaultMemberUniqueName="[Sales_Clean].[Total_Cost].[All]" allUniqueName="[Sales_Clean].[Total_Cost].[All]" dimensionUniqueName="[Sales_Clean]" displayFolder="" count="0" memberValueDatatype="6" unbalanced="0"/>
    <cacheHierarchy uniqueName="[Sales_Clean].[Gross_Profit]" caption="Gross_Profit" attribute="1" defaultMemberUniqueName="[Sales_Clean].[Gross_Profit].[All]" allUniqueName="[Sales_Clean].[Gross_Profit].[All]" dimensionUniqueName="[Sales_Clean]" displayFolder="" count="0" memberValueDatatype="6" unbalanced="0"/>
    <cacheHierarchy uniqueName="[Sales_Clean].[Profit_Margin]" caption="Profit_Margin" attribute="1" defaultMemberUniqueName="[Sales_Clean].[Profit_Margin].[All]" allUniqueName="[Sales_Clean].[Profit_Margin].[All]" dimensionUniqueName="[Sales_Clean]" displayFolder="" count="0" memberValueDatatype="5" unbalanced="0"/>
    <cacheHierarchy uniqueName="[Stores_Clean].[Store_ID]" caption="Store_ID" attribute="1" defaultMemberUniqueName="[Stores_Clean].[Store_ID].[All]" allUniqueName="[Stores_Clean].[Store_ID].[All]" dimensionUniqueName="[Stores_Clean]" displayFolder="" count="0" memberValueDatatype="20" unbalanced="0"/>
    <cacheHierarchy uniqueName="[Stores_Clean].[Store_Name]" caption="Store_Name" attribute="1" defaultMemberUniqueName="[Stores_Clean].[Store_Name].[All]" allUniqueName="[Stores_Clean].[Store_Name].[All]" dimensionUniqueName="[Stores_Clean]" displayFolder="" count="2" memberValueDatatype="130" unbalanced="0"/>
    <cacheHierarchy uniqueName="[Stores_Clean].[Store_City]" caption="Store_City" attribute="1" defaultMemberUniqueName="[Stores_Clean].[Store_City].[All]" allUniqueName="[Stores_Clean].[Store_City].[All]" dimensionUniqueName="[Stores_Clean]" displayFolder="" count="0" memberValueDatatype="130" unbalanced="0"/>
    <cacheHierarchy uniqueName="[Stores_Clean].[Store_Location]" caption="Store_Location" attribute="1" defaultMemberUniqueName="[Stores_Clean].[Store_Location].[All]" allUniqueName="[Stores_Clean].[Store_Location].[All]" dimensionUniqueName="[Stores_Clean]" displayFolder="" count="2" memberValueDatatype="130" unbalanced="0"/>
    <cacheHierarchy uniqueName="[Stores_Clean].[Store_Open_Date]" caption="Store_Open_Date" attribute="1" time="1" defaultMemberUniqueName="[Stores_Clean].[Store_Open_Date].[All]" allUniqueName="[Stores_Clean].[Store_Open_Date].[All]" dimensionUniqueName="[Stores_Clean]" displayFolder="" count="0" memberValueDatatype="7" unbalanced="0"/>
    <cacheHierarchy uniqueName="[Stores_Clean].[Store_Open_Year]" caption="Store_Open_Year" attribute="1" defaultMemberUniqueName="[Stores_Clean].[Store_Open_Year].[All]" allUniqueName="[Stores_Clean].[Store_Open_Year].[All]" dimensionUniqueName="[Stores_Clean]" displayFolder="" count="0" memberValueDatatype="20" unbalanced="0"/>
    <cacheHierarchy uniqueName="[Measures].[Total Sales]" caption="Total Sales" measure="1" displayFolder="" measureGroup="Sales_Clean" count="0"/>
    <cacheHierarchy uniqueName="[Measures].[Total Cost]" caption="Total Cost" measure="1" displayFolder="" measureGroup="Sales_Clean" count="0"/>
    <cacheHierarchy uniqueName="[Measures].[Gross Profit]" caption="Gross Profit" measure="1" displayFolder="" measureGroup="Sales_Clean" count="0"/>
    <cacheHierarchy uniqueName="[Measures].[Profit Margin]" caption="Profit Margin" measure="1" displayFolder="" measureGroup="Sales_Clean" count="0"/>
    <cacheHierarchy uniqueName="[Measures].[Units Sold]" caption="Units Sold" measure="1" displayFolder="" measureGroup="Sales_Clean" count="0"/>
    <cacheHierarchy uniqueName="[Measures].[Transaction Count]" caption="Transaction Count" measure="1" displayFolder="" measureGroup="Sales_Clean" count="0"/>
    <cacheHierarchy uniqueName="[Measures].[Inventory Value]" caption="Inventory Value" measure="1" displayFolder="" measureGroup="Inventory_Clean" count="0"/>
    <cacheHierarchy uniqueName="[Measures].[Stock on Hand]" caption="Stock on Hand" measure="1" displayFolder="" measureGroup="Inventory_Clean" count="0"/>
    <cacheHierarchy uniqueName="[Measures].[Potential Retail Value]" caption="Potential Retail Value" measure="1" displayFolder="" measureGroup="Inventory_Clean" count="0"/>
    <cacheHierarchy uniqueName="[Measures].[__XL_Count Sales_Clean]" caption="__XL_Count Sales_Clean" measure="1" displayFolder="" measureGroup="Sales_Clean" count="0" hidden="1"/>
    <cacheHierarchy uniqueName="[Measures].[__XL_Count Products_Clean]" caption="__XL_Count Products_Clean" measure="1" displayFolder="" measureGroup="Products_Clean" count="0" hidden="1"/>
    <cacheHierarchy uniqueName="[Measures].[__XL_Count Stores_Clean]" caption="__XL_Count Stores_Clean" measure="1" displayFolder="" measureGroup="Stores_Clean" count="0" hidden="1"/>
    <cacheHierarchy uniqueName="[Measures].[__XL_Count Calendar_Clean]" caption="__XL_Count Calendar_Clean" measure="1" displayFolder="" measureGroup="Calendar_Clean" count="0" hidden="1"/>
    <cacheHierarchy uniqueName="[Measures].[__XL_Count Inventory_Clean]" caption="__XL_Count Inventory_Clean" measure="1" displayFolder="" measureGroup="Inventory_Clean" count="0" hidden="1"/>
    <cacheHierarchy uniqueName="[Measures].[__No measures defined]" caption="__No measures defined" measure="1" displayFolder="" count="0" hidden="1"/>
    <cacheHierarchy uniqueName="[Measures].[Sum of Gross_Profit]" caption="Sum of Gross_Profit" measure="1" displayFolder="" measureGroup="Sales_Clean" count="0" hidden="1">
      <extLst>
        <ext xmlns:x15="http://schemas.microsoft.com/office/spreadsheetml/2010/11/main" uri="{B97F6D7D-B522-45F9-BDA1-12C45D357490}">
          <x15:cacheHierarchy aggregatedColumn="32"/>
        </ext>
      </extLst>
    </cacheHierarchy>
    <cacheHierarchy uniqueName="[Measures].[Sum of Inventory_Value]" caption="Sum of Inventory_Value" measure="1" displayFolder="" measureGroup="Inventory_Clean" count="0" hidden="1">
      <extLst>
        <ext xmlns:x15="http://schemas.microsoft.com/office/spreadsheetml/2010/11/main" uri="{B97F6D7D-B522-45F9-BDA1-12C45D357490}">
          <x15:cacheHierarchy aggregatedColumn="13"/>
        </ext>
      </extLst>
    </cacheHierarchy>
  </cacheHierarchies>
  <kpis count="0"/>
  <extLst>
    <ext xmlns:x14="http://schemas.microsoft.com/office/spreadsheetml/2009/9/main" uri="{725AE2AE-9491-48be-B2B4-4EB974FC3084}">
      <x14:pivotCacheDefinition slicerData="1" pivotCacheId="956296691" supportSubqueryNonVisual="1" supportSubqueryCalcMem="1" supportAddCalcMems="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
  <r>
    <x v="0"/>
    <s v="Art &amp; Crafts"/>
    <n v="35097.180000002176"/>
    <n v="0.08"/>
    <n v="37904.954400002352"/>
    <n v="195905.21999998926"/>
    <n v="158000.26559998692"/>
    <n v="4.168327547176184"/>
    <s v="Above Budget"/>
    <n v="11371.486320000706"/>
    <n v="50698"/>
    <n v="39326.513679999291"/>
  </r>
  <r>
    <x v="0"/>
    <s v="Electronics"/>
    <n v="143088.62000000791"/>
    <n v="0.08"/>
    <n v="154535.70960000856"/>
    <n v="102774.81000000582"/>
    <n v="-51760.89960000274"/>
    <n v="-0.33494458810832595"/>
    <s v="Below Budget"/>
    <n v="46360.712880002568"/>
    <n v="41720"/>
    <n v="-4640.7128800025675"/>
  </r>
  <r>
    <x v="0"/>
    <s v="Games"/>
    <n v="97575.980000007243"/>
    <n v="0.08"/>
    <n v="105382.05840000782"/>
    <n v="139809.19000001581"/>
    <n v="34427.131600007982"/>
    <n v="0.32668873736865084"/>
    <s v="Above Budget"/>
    <n v="31614.617520002346"/>
    <n v="41824"/>
    <n v="10209.382479997654"/>
  </r>
  <r>
    <x v="0"/>
    <s v="Sports &amp; Outdoors"/>
    <n v="74945.880000000689"/>
    <n v="0.08"/>
    <n v="80941.55040000075"/>
    <n v="89548.060000004567"/>
    <n v="8606.5096000038175"/>
    <n v="0.10632993261769468"/>
    <s v="Above Budget"/>
    <n v="24282.465120000223"/>
    <n v="23245"/>
    <n v="-1037.4651200002227"/>
  </r>
  <r>
    <x v="0"/>
    <s v="Toys"/>
    <n v="191847.24999998781"/>
    <n v="0.08"/>
    <n v="207195.02999998684"/>
    <n v="219158.93999998114"/>
    <n v="11963.909999994299"/>
    <n v="5.7742263412375573E-2"/>
    <s v="Above Budget"/>
    <n v="62158.508999996047"/>
    <n v="47587"/>
    <n v="-14571.508999996047"/>
  </r>
  <r>
    <x v="1"/>
    <s v="Art &amp; Crafts"/>
    <n v="33882.730000001829"/>
    <n v="0.08"/>
    <n v="36593.348400001982"/>
    <n v="187713.09999998947"/>
    <n v="151119.7515999875"/>
    <n v="4.12970548494489"/>
    <s v="Above Budget"/>
    <n v="10978.004520000593"/>
    <n v="49496"/>
    <n v="38517.995479999408"/>
  </r>
  <r>
    <x v="1"/>
    <s v="Electronics"/>
    <n v="133353.41000001013"/>
    <n v="0.08"/>
    <n v="144021.68280001095"/>
    <n v="98999.690000005285"/>
    <n v="-45021.992800005668"/>
    <n v="-0.31260565718096334"/>
    <s v="Below Budget"/>
    <n v="43206.504840003283"/>
    <n v="39246"/>
    <n v="-3960.5048400032829"/>
  </r>
  <r>
    <x v="1"/>
    <s v="Games"/>
    <n v="90147.020000005548"/>
    <n v="0.08"/>
    <n v="97358.781600005997"/>
    <n v="131745.03000001574"/>
    <n v="34386.248400009747"/>
    <n v="0.35319103048437933"/>
    <s v="Above Budget"/>
    <n v="29207.634480001798"/>
    <n v="35758"/>
    <n v="6550.3655199982022"/>
  </r>
  <r>
    <x v="1"/>
    <s v="Sports &amp; Outdoors"/>
    <n v="73338.490000000267"/>
    <n v="0.08"/>
    <n v="79205.569200000289"/>
    <n v="85848.120000004681"/>
    <n v="6642.5508000043919"/>
    <n v="8.3864693696366593E-2"/>
    <s v="Above Budget"/>
    <n v="23761.670760000085"/>
    <n v="21849"/>
    <n v="-1912.6707600000846"/>
  </r>
  <r>
    <x v="1"/>
    <s v="Toys"/>
    <n v="210629.99999998862"/>
    <n v="0.08"/>
    <n v="227480.39999998771"/>
    <n v="218326.2499999805"/>
    <n v="-9154.1500000072119"/>
    <n v="-4.0241488937102741E-2"/>
    <s v="Below Budget"/>
    <n v="68244.119999996314"/>
    <n v="42965"/>
    <n v="-25279.119999996314"/>
  </r>
  <r>
    <x v="2"/>
    <s v="Art &amp; Crafts"/>
    <n v="51700.709999998682"/>
    <n v="0.08"/>
    <n v="55836.766799998579"/>
    <n v="205848.12999999645"/>
    <n v="150011.36319999787"/>
    <n v="2.6866054715761529"/>
    <s v="Above Budget"/>
    <n v="16751.030039999572"/>
    <n v="56064"/>
    <n v="39312.969960000424"/>
  </r>
  <r>
    <x v="2"/>
    <s v="Electronics"/>
    <n v="133784.33000000942"/>
    <n v="0.08"/>
    <n v="144487.07640001018"/>
    <n v="101111.66000000533"/>
    <n v="-43375.416400004848"/>
    <n v="-0.30020274117749257"/>
    <s v="Below Budget"/>
    <n v="43346.12292000305"/>
    <n v="41181"/>
    <n v="-2165.1229200030502"/>
  </r>
  <r>
    <x v="2"/>
    <s v="Games"/>
    <n v="89526.550000005722"/>
    <n v="0.08"/>
    <n v="96688.674000006184"/>
    <n v="131252.59000001845"/>
    <n v="34563.916000012265"/>
    <n v="0.35747636791471621"/>
    <s v="Above Budget"/>
    <n v="29006.602200001853"/>
    <n v="40004"/>
    <n v="10997.397799998147"/>
  </r>
  <r>
    <x v="2"/>
    <s v="Sports &amp; Outdoors"/>
    <n v="76744.560000001205"/>
    <n v="0.08"/>
    <n v="82884.1248000013"/>
    <n v="142103.43000000995"/>
    <n v="59219.305200008646"/>
    <n v="0.71448308518554471"/>
    <s v="Above Budget"/>
    <n v="24865.23744000039"/>
    <n v="34682"/>
    <n v="9816.7625599996099"/>
  </r>
  <r>
    <x v="2"/>
    <s v="Toys"/>
    <n v="237729.03999997338"/>
    <n v="0.08"/>
    <n v="256747.36319997127"/>
    <n v="303199.82999994984"/>
    <n v="46452.466799978574"/>
    <n v="0.18092675313591602"/>
    <s v="Above Budget"/>
    <n v="77024.208959991374"/>
    <n v="59978"/>
    <n v="-17046.208959991374"/>
  </r>
  <r>
    <x v="3"/>
    <s v="Art &amp; Crafts"/>
    <n v="65344.039999997287"/>
    <n v="0.08"/>
    <n v="70571.563199997079"/>
    <n v="230299.14999998437"/>
    <n v="159727.5867999873"/>
    <n v="2.2633420538996067"/>
    <s v="Above Budget"/>
    <n v="21171.468959999122"/>
    <n v="57720"/>
    <n v="36548.531040000875"/>
  </r>
  <r>
    <x v="3"/>
    <s v="Electronics"/>
    <n v="128606.76000000973"/>
    <n v="0.08"/>
    <n v="138895.3008000105"/>
    <n v="89174.16000000319"/>
    <n v="-49721.140800007313"/>
    <n v="-0.35797568754034875"/>
    <s v="Below Budget"/>
    <n v="41668.590240003148"/>
    <n v="36707"/>
    <n v="-4961.5902400031482"/>
  </r>
  <r>
    <x v="3"/>
    <s v="Games"/>
    <n v="100164.09000000841"/>
    <n v="0.08"/>
    <n v="108177.21720000909"/>
    <n v="121196.82000001574"/>
    <n v="13019.602800006644"/>
    <n v="0.12035438826212982"/>
    <s v="Above Budget"/>
    <n v="32453.165160002725"/>
    <n v="38014"/>
    <n v="5560.8348399972747"/>
  </r>
  <r>
    <x v="3"/>
    <s v="Sports &amp; Outdoors"/>
    <n v="103733.18000000788"/>
    <n v="0.08"/>
    <n v="112031.83440000852"/>
    <n v="129265.27000001448"/>
    <n v="17233.435600005963"/>
    <n v="0.15382623780374921"/>
    <s v="Above Budget"/>
    <n v="33609.550320002556"/>
    <n v="30007"/>
    <n v="-3602.550320002556"/>
  </r>
  <r>
    <x v="3"/>
    <s v="Toys"/>
    <n v="283224.90999996359"/>
    <n v="0.08"/>
    <n v="305882.90279996069"/>
    <n v="257755.66999997164"/>
    <n v="-48127.232799989055"/>
    <n v="-0.15733874747312368"/>
    <s v="Below Budget"/>
    <n v="91764.870839988202"/>
    <n v="52648"/>
    <n v="-39116.870839988202"/>
  </r>
  <r>
    <x v="4"/>
    <s v="Art &amp; Crafts"/>
    <n v="70988.869999999792"/>
    <n v="0.08"/>
    <n v="76667.979599999773"/>
    <n v="226843.86999997578"/>
    <n v="150175.89039997599"/>
    <n v="1.9587824171641068"/>
    <s v="Above Budget"/>
    <n v="23000.393879999931"/>
    <n v="56475"/>
    <n v="33474.606120000069"/>
  </r>
  <r>
    <x v="4"/>
    <s v="Electronics"/>
    <n v="118107.04000000848"/>
    <n v="0.08"/>
    <n v="127555.60320000917"/>
    <n v="83904.190000002432"/>
    <n v="-43651.413200006733"/>
    <n v="-0.34221478402293815"/>
    <s v="Below Budget"/>
    <n v="38266.680960002748"/>
    <n v="33192"/>
    <n v="-5074.6809600027482"/>
  </r>
  <r>
    <x v="4"/>
    <s v="Games"/>
    <n v="89197.610000005414"/>
    <n v="0.08"/>
    <n v="96333.418800005849"/>
    <n v="108814.29000001078"/>
    <n v="12480.871200004927"/>
    <n v="0.12955910166456347"/>
    <s v="Above Budget"/>
    <n v="28900.025640001753"/>
    <n v="31726"/>
    <n v="2825.9743599982467"/>
  </r>
  <r>
    <x v="4"/>
    <s v="Sports &amp; Outdoors"/>
    <n v="94460.830000006827"/>
    <n v="0.08"/>
    <n v="102017.69640000738"/>
    <n v="137381.7900000129"/>
    <n v="35364.093600005523"/>
    <n v="0.34664665884381768"/>
    <s v="Above Budget"/>
    <n v="30605.308920002211"/>
    <n v="32552"/>
    <n v="1946.6910799977886"/>
  </r>
  <r>
    <x v="4"/>
    <s v="Toys"/>
    <n v="299615.54999994906"/>
    <n v="0.08"/>
    <n v="323584.79399994499"/>
    <n v="268375.34999996051"/>
    <n v="-55209.443999984476"/>
    <n v="-0.17061816569784136"/>
    <s v="Below Budget"/>
    <n v="97075.438199983488"/>
    <n v="56402"/>
    <n v="-40673.438199983488"/>
  </r>
  <r>
    <x v="5"/>
    <s v="Art &amp; Crafts"/>
    <n v="63056.119999997871"/>
    <n v="0.08"/>
    <n v="68100.609599997711"/>
    <n v="202725.6599999833"/>
    <n v="134625.05039998557"/>
    <n v="1.9768552908811274"/>
    <s v="Above Budget"/>
    <n v="20430.182879999313"/>
    <n v="50501"/>
    <n v="30070.817120000687"/>
  </r>
  <r>
    <x v="5"/>
    <s v="Electronics"/>
    <n v="116003.83000000712"/>
    <n v="0.08"/>
    <n v="125284.1364000077"/>
    <n v="84604.340000003271"/>
    <n v="-40679.79640000443"/>
    <n v="-0.3247002978104252"/>
    <s v="Below Budget"/>
    <n v="37585.24092000231"/>
    <n v="34138"/>
    <n v="-3447.2409200023103"/>
  </r>
  <r>
    <x v="5"/>
    <s v="Games"/>
    <n v="102313.72000001013"/>
    <n v="0.08"/>
    <n v="110498.81760001095"/>
    <n v="99193.830000009344"/>
    <n v="-11304.987600001608"/>
    <n v="-0.10230867483961645"/>
    <s v="Below Budget"/>
    <n v="33149.645280003286"/>
    <n v="31197"/>
    <n v="-1952.6452800032857"/>
  </r>
  <r>
    <x v="5"/>
    <s v="Sports &amp; Outdoors"/>
    <n v="120866.55000001031"/>
    <n v="0.08"/>
    <n v="130535.87400001114"/>
    <n v="129626.73000001488"/>
    <n v="-909.14399999626039"/>
    <n v="-6.9647061159308805E-3"/>
    <s v="Below Budget"/>
    <n v="39160.762200003344"/>
    <n v="29005"/>
    <n v="-10155.762200003344"/>
  </r>
  <r>
    <x v="5"/>
    <s v="Toys"/>
    <n v="259739.99999996679"/>
    <n v="0.08"/>
    <n v="280519.19999996416"/>
    <n v="292148.6899999525"/>
    <n v="11629.489999988349"/>
    <n v="4.1457019697724203E-2"/>
    <s v="Above Budget"/>
    <n v="84155.759999989241"/>
    <n v="62371"/>
    <n v="-21784.759999989241"/>
  </r>
  <r>
    <x v="6"/>
    <s v="Art &amp; Crafts"/>
    <n v="65651.499999998108"/>
    <n v="0.08"/>
    <n v="70903.619999997958"/>
    <n v="206862.97999998141"/>
    <n v="135959.35999998346"/>
    <n v="1.9175235340591548"/>
    <s v="Above Budget"/>
    <n v="21271.085999999388"/>
    <n v="54800"/>
    <n v="33528.914000000615"/>
  </r>
  <r>
    <x v="6"/>
    <s v="Electronics"/>
    <n v="114622.89000000834"/>
    <n v="0.08"/>
    <n v="123792.72120000901"/>
    <n v="88597.150000003166"/>
    <n v="-35195.571200005841"/>
    <n v="-0.28431050597184288"/>
    <s v="Below Budget"/>
    <n v="37137.816360002704"/>
    <n v="36967"/>
    <n v="-170.81636000270373"/>
  </r>
  <r>
    <x v="6"/>
    <s v="Games"/>
    <n v="99782.210000009116"/>
    <n v="0.08"/>
    <n v="107764.78680000985"/>
    <n v="107272.58000001122"/>
    <n v="-492.20679999863205"/>
    <n v="-4.5674177494738665E-3"/>
    <s v="Below Budget"/>
    <n v="32329.436040002955"/>
    <n v="31956"/>
    <n v="-373.43604000295454"/>
  </r>
  <r>
    <x v="6"/>
    <s v="Sports &amp; Outdoors"/>
    <n v="129568.59000001199"/>
    <n v="0.08"/>
    <n v="139934.07720001295"/>
    <n v="128931.17000001478"/>
    <n v="-11002.907199998168"/>
    <n v="-7.8629218987675928E-2"/>
    <s v="Below Budget"/>
    <n v="41980.223160003887"/>
    <n v="28823"/>
    <n v="-13157.223160003887"/>
  </r>
  <r>
    <x v="6"/>
    <s v="Toys"/>
    <n v="146409.0400000092"/>
    <n v="0.08"/>
    <n v="158121.76320000994"/>
    <n v="296684.97999995382"/>
    <n v="138563.21679994388"/>
    <n v="0.87630705600388326"/>
    <s v="Above Budget"/>
    <n v="47436.528960002979"/>
    <n v="57261"/>
    <n v="9824.4710399970209"/>
  </r>
  <r>
    <x v="7"/>
    <s v="Art &amp; Crafts"/>
    <n v="57055.229999998344"/>
    <n v="0.08"/>
    <n v="61619.648399998216"/>
    <n v="155295.63000000702"/>
    <n v="93675.981600008803"/>
    <n v="1.5202290832936904"/>
    <s v="Above Budget"/>
    <n v="18485.894519999463"/>
    <n v="44603"/>
    <n v="26117.105480000537"/>
  </r>
  <r>
    <x v="7"/>
    <s v="Electronics"/>
    <n v="122930.06000000845"/>
    <n v="0.08"/>
    <n v="132764.46480000913"/>
    <n v="84598.880000002682"/>
    <n v="-48165.584800006443"/>
    <n v="-0.3627897334769592"/>
    <s v="Below Budget"/>
    <n v="39829.339440002739"/>
    <n v="34685"/>
    <n v="-5144.3394400027391"/>
  </r>
  <r>
    <x v="7"/>
    <s v="Games"/>
    <n v="79416.400000002657"/>
    <n v="0.08"/>
    <n v="85769.712000002881"/>
    <n v="86757.460000003935"/>
    <n v="987.74800000105461"/>
    <n v="1.1516279779521953E-2"/>
    <s v="Above Budget"/>
    <n v="25730.913600000862"/>
    <n v="24611"/>
    <n v="-1119.9136000008621"/>
  </r>
  <r>
    <x v="7"/>
    <s v="Sports &amp; Outdoors"/>
    <n v="89408.490000004444"/>
    <n v="0.08"/>
    <n v="96561.169200004806"/>
    <n v="98763.590000006938"/>
    <n v="2202.4208000021317"/>
    <n v="2.2808555636275603E-2"/>
    <s v="Above Budget"/>
    <n v="28968.350760001442"/>
    <n v="23284"/>
    <n v="-5684.3507600014418"/>
  </r>
  <r>
    <x v="7"/>
    <s v="Toys"/>
    <n v="140612.55000000892"/>
    <n v="0.08"/>
    <n v="151861.55400000964"/>
    <n v="235461.5099999746"/>
    <n v="83599.955999964965"/>
    <n v="0.55050112288433228"/>
    <s v="Above Budget"/>
    <n v="45558.466200002891"/>
    <n v="47855"/>
    <n v="2296.5337999971089"/>
  </r>
  <r>
    <x v="8"/>
    <s v="Art &amp; Crafts"/>
    <n v="68369.890000000087"/>
    <n v="0.08"/>
    <n v="73839.481200000097"/>
    <n v="187229.63999998695"/>
    <n v="113390.15879998685"/>
    <n v="1.5356304914014849"/>
    <s v="Above Budget"/>
    <n v="22151.844360000028"/>
    <n v="60048"/>
    <n v="37896.155639999968"/>
  </r>
  <r>
    <x v="8"/>
    <s v="Electronics"/>
    <n v="106980.79000000619"/>
    <n v="0.08"/>
    <n v="115539.2532000067"/>
    <n v="72547.180000000095"/>
    <n v="-42992.073200006605"/>
    <n v="-0.37209928235890755"/>
    <s v="Below Budget"/>
    <n v="34661.775960002007"/>
    <n v="29194"/>
    <n v="-5467.7759600020072"/>
  </r>
  <r>
    <x v="8"/>
    <s v="Games"/>
    <n v="81833.100000002989"/>
    <n v="0.08"/>
    <n v="88379.748000003237"/>
    <n v="72150.889999999199"/>
    <n v="-16228.858000004038"/>
    <n v="-0.18362643441802351"/>
    <s v="Below Budget"/>
    <n v="26513.924400000971"/>
    <n v="20522"/>
    <n v="-5991.9244000009712"/>
  </r>
  <r>
    <x v="8"/>
    <s v="Sports &amp; Outdoors"/>
    <n v="78698.610000001863"/>
    <n v="0.08"/>
    <n v="84994.498800002024"/>
    <n v="111463.54000001196"/>
    <n v="26469.041200009931"/>
    <n v="0.31142063984980284"/>
    <s v="Above Budget"/>
    <n v="25498.349640000608"/>
    <n v="27245"/>
    <n v="1746.6503599993921"/>
  </r>
  <r>
    <x v="8"/>
    <s v="Toys"/>
    <n v="249961.64999997537"/>
    <n v="0.08"/>
    <n v="269958.58199997339"/>
    <n v="214803.22999998048"/>
    <n v="-55155.351999992912"/>
    <n v="-0.2043104227003176"/>
    <s v="Below Budget"/>
    <n v="80987.574599992018"/>
    <n v="43436"/>
    <n v="-37551.574599992018"/>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
  <r>
    <x v="0"/>
    <s v="Art &amp; Crafts"/>
    <n v="85597.900000005873"/>
    <n v="0.12"/>
    <n v="95869.648000006593"/>
    <n v="55840.899999999172"/>
    <n v="-0.01"/>
    <n v="61916.389919999092"/>
    <n v="33953.258080007501"/>
    <n v="0.35416066282005298"/>
    <s v="Best Case"/>
  </r>
  <r>
    <x v="0"/>
    <s v="Electronics"/>
    <n v="113795.65000000678"/>
    <n v="0.12"/>
    <n v="127451.12800000761"/>
    <n v="65120.649999998808"/>
    <n v="-0.01"/>
    <n v="72205.776719998685"/>
    <n v="55245.351280008923"/>
    <n v="0.43346302341086873"/>
    <s v="Best Case"/>
  </r>
  <r>
    <x v="0"/>
    <s v="Games"/>
    <n v="104525.39000001046"/>
    <n v="0.12"/>
    <n v="117068.43680001172"/>
    <n v="73210.390000000174"/>
    <n v="-0.01"/>
    <n v="81175.680432000197"/>
    <n v="35892.756368011527"/>
    <n v="0.30659635807153729"/>
    <s v="Best Case"/>
  </r>
  <r>
    <x v="0"/>
    <s v="Sports &amp; Outdoors"/>
    <n v="71357.509999999354"/>
    <n v="0.12"/>
    <n v="79920.411199999289"/>
    <n v="54296.509999998656"/>
    <n v="-0.01"/>
    <n v="60203.97028799852"/>
    <n v="19716.440912000769"/>
    <n v="0.24670094430145956"/>
    <s v="Best Case"/>
  </r>
  <r>
    <x v="0"/>
    <s v="Toys"/>
    <n v="248597.93999997232"/>
    <n v="0.12"/>
    <n v="278429.69279996905"/>
    <n v="196606.93999998359"/>
    <n v="-0.01"/>
    <n v="217997.77507198183"/>
    <n v="60431.917727987224"/>
    <n v="0.21704552097251728"/>
    <s v="Best Case"/>
  </r>
  <r>
    <x v="1"/>
    <s v="Art &amp; Crafts"/>
    <n v="118599.5700000167"/>
    <n v="0.12"/>
    <n v="132831.51840001871"/>
    <n v="76690.570000004431"/>
    <n v="-0.01"/>
    <n v="85034.504016004925"/>
    <n v="47797.01438401379"/>
    <n v="0.35983187544445816"/>
    <s v="Best Case"/>
  </r>
  <r>
    <x v="1"/>
    <s v="Electronics"/>
    <n v="100433.83000000517"/>
    <n v="0.12"/>
    <n v="112485.8896000058"/>
    <n v="56751.82999999891"/>
    <n v="-0.01"/>
    <n v="62926.429103998795"/>
    <n v="49559.460496007006"/>
    <n v="0.44058379830784083"/>
    <s v="Best Case"/>
  </r>
  <r>
    <x v="1"/>
    <s v="Games"/>
    <n v="111619.87000001151"/>
    <n v="0.12"/>
    <n v="125014.2544000129"/>
    <n v="78744.870000001611"/>
    <n v="-0.01"/>
    <n v="87312.31185600179"/>
    <n v="37701.942544011108"/>
    <n v="0.30158114948535997"/>
    <s v="Best Case"/>
  </r>
  <r>
    <x v="1"/>
    <s v="Sports &amp; Outdoors"/>
    <n v="76414.080000002286"/>
    <n v="0.12"/>
    <n v="85583.769600002575"/>
    <n v="58290.079999997855"/>
    <n v="-0.01"/>
    <n v="64632.040703997627"/>
    <n v="20951.728896004948"/>
    <n v="0.24480960576903962"/>
    <s v="Best Case"/>
  </r>
  <r>
    <x v="1"/>
    <s v="Toys"/>
    <n v="254236.79999996952"/>
    <n v="0.12"/>
    <n v="284745.21599996591"/>
    <n v="197953.79999998506"/>
    <n v="-0.01"/>
    <n v="219491.17343998345"/>
    <n v="65254.042559982452"/>
    <n v="0.22916642279949759"/>
    <s v="Best Case"/>
  </r>
  <r>
    <x v="2"/>
    <s v="Art &amp; Crafts"/>
    <n v="191297.13999999233"/>
    <n v="0.12"/>
    <n v="214252.79679999143"/>
    <n v="134674.14000001771"/>
    <n v="-0.01"/>
    <n v="149326.68643201966"/>
    <n v="64926.110367971763"/>
    <n v="0.3030350657619717"/>
    <s v="Best Case"/>
  </r>
  <r>
    <x v="2"/>
    <s v="Electronics"/>
    <n v="108751.98000000761"/>
    <n v="0.12"/>
    <n v="121802.21760000853"/>
    <n v="63991.979999998199"/>
    <n v="-0.01"/>
    <n v="70954.307423998005"/>
    <n v="50847.910176010526"/>
    <n v="0.41746292619229752"/>
    <s v="Best Case"/>
  </r>
  <r>
    <x v="2"/>
    <s v="Games"/>
    <n v="182541.64999999045"/>
    <n v="0.12"/>
    <n v="204446.64799998933"/>
    <n v="130157.65000001961"/>
    <n v="-0.01"/>
    <n v="144318.80232002176"/>
    <n v="60127.845679967577"/>
    <n v="0.29410042310877466"/>
    <s v="Best Case"/>
  </r>
  <r>
    <x v="2"/>
    <s v="Sports &amp; Outdoors"/>
    <n v="129891.10000001387"/>
    <n v="0.12"/>
    <n v="145478.03200001555"/>
    <n v="95023.100000007704"/>
    <n v="-0.01"/>
    <n v="105361.61328000855"/>
    <n v="40116.418720007001"/>
    <n v="0.2757558524025312"/>
    <s v="Best Case"/>
  </r>
  <r>
    <x v="2"/>
    <s v="Toys"/>
    <n v="264721.81999997102"/>
    <n v="0.12"/>
    <n v="296488.43839996756"/>
    <n v="207278.81999998473"/>
    <n v="-0.01"/>
    <n v="229830.7556159831"/>
    <n v="66657.682783984463"/>
    <n v="0.22482388569250786"/>
    <s v="Best Cas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F42623E-C9A0-40FF-BBD1-C76D3F28D847}" name="pvtScenarioForecast" cacheId="503"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chartFormat="3">
  <location ref="X55:Z59" firstHeaderRow="0" firstDataRow="1" firstDataCol="1"/>
  <pivotFields count="11">
    <pivotField axis="axisRow" numFmtId="165" showAll="0">
      <items count="4">
        <item x="0"/>
        <item x="1"/>
        <item x="2"/>
        <item t="default"/>
      </items>
    </pivotField>
    <pivotField showAll="0"/>
    <pivotField numFmtId="168" showAll="0"/>
    <pivotField numFmtId="9" showAll="0"/>
    <pivotField dataField="1" numFmtId="168" showAll="0"/>
    <pivotField showAll="0"/>
    <pivotField numFmtId="9" showAll="0"/>
    <pivotField numFmtId="168" showAll="0"/>
    <pivotField dataField="1" numFmtId="168" showAll="0"/>
    <pivotField numFmtId="10" showAll="0"/>
    <pivotField showAll="0"/>
  </pivotFields>
  <rowFields count="1">
    <field x="0"/>
  </rowFields>
  <rowItems count="4">
    <i>
      <x/>
    </i>
    <i>
      <x v="1"/>
    </i>
    <i>
      <x v="2"/>
    </i>
    <i t="grand">
      <x/>
    </i>
  </rowItems>
  <colFields count="1">
    <field x="-2"/>
  </colFields>
  <colItems count="2">
    <i>
      <x/>
    </i>
    <i i="1">
      <x v="1"/>
    </i>
  </colItems>
  <dataFields count="2">
    <dataField name="Sum of Forecasted_Sales" fld="4" baseField="0" baseItem="0"/>
    <dataField name="Sum of Forecasted_Profit" fld="8" baseField="0" baseItem="0"/>
  </dataField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1723256-F566-4654-B63C-F65E3FF3D775}" name="pvtActualVsBudgetChart" cacheId="72" applyNumberFormats="0" applyBorderFormats="0" applyFontFormats="0" applyPatternFormats="0" applyAlignmentFormats="0" applyWidthHeightFormats="1" dataCaption="Values" updatedVersion="7" minRefreshableVersion="3" useAutoFormatting="1" itemPrintTitles="1" createdVersion="7" indent="0" outline="1" outlineData="1" multipleFieldFilters="0" chartFormat="3">
  <location ref="X40:Z50" firstHeaderRow="0" firstDataRow="1" firstDataCol="1"/>
  <pivotFields count="12">
    <pivotField axis="axisRow" numFmtId="165" showAll="0" sortType="ascending">
      <items count="10">
        <item x="0"/>
        <item x="1"/>
        <item x="2"/>
        <item x="3"/>
        <item x="4"/>
        <item x="5"/>
        <item x="6"/>
        <item x="7"/>
        <item x="8"/>
        <item t="default"/>
      </items>
    </pivotField>
    <pivotField showAll="0"/>
    <pivotField numFmtId="166" showAll="0"/>
    <pivotField numFmtId="9" showAll="0"/>
    <pivotField dataField="1" numFmtId="166" showAll="0"/>
    <pivotField dataField="1" numFmtId="167" showAll="0"/>
    <pivotField numFmtId="168" showAll="0"/>
    <pivotField numFmtId="10" showAll="0"/>
    <pivotField showAll="0"/>
    <pivotField numFmtId="166" showAll="0"/>
    <pivotField numFmtId="167" showAll="0"/>
    <pivotField numFmtId="168" showAll="0"/>
  </pivotFields>
  <rowFields count="1">
    <field x="0"/>
  </rowFields>
  <rowItems count="10">
    <i>
      <x/>
    </i>
    <i>
      <x v="1"/>
    </i>
    <i>
      <x v="2"/>
    </i>
    <i>
      <x v="3"/>
    </i>
    <i>
      <x v="4"/>
    </i>
    <i>
      <x v="5"/>
    </i>
    <i>
      <x v="6"/>
    </i>
    <i>
      <x v="7"/>
    </i>
    <i>
      <x v="8"/>
    </i>
    <i t="grand">
      <x/>
    </i>
  </rowItems>
  <colFields count="1">
    <field x="-2"/>
  </colFields>
  <colItems count="2">
    <i>
      <x/>
    </i>
    <i i="1">
      <x v="1"/>
    </i>
  </colItems>
  <dataFields count="2">
    <dataField name="Sum of Actual_Sales" fld="5" baseField="0" baseItem="0"/>
    <dataField name="Sum of Budgeted_Sales" fld="4" baseField="0" baseItem="0"/>
  </dataField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52AD73A-823C-4E9B-A80F-0DF850CDD332}" name="pvtTop10StoresChart" cacheId="34" applyNumberFormats="0" applyBorderFormats="0" applyFontFormats="0" applyPatternFormats="0" applyAlignmentFormats="0" applyWidthHeightFormats="1" dataCaption="Values" tag="d30dc8ca-eb58-4aaf-85cc-944985e9f4b6" updatedVersion="7" minRefreshableVersion="3" useAutoFormatting="1" subtotalHiddenItems="1" itemPrintTitles="1" createdVersion="7" indent="0" outline="1" outlineData="1" multipleFieldFilters="0" chartFormat="3">
  <location ref="X3:Y14" firstHeaderRow="1" firstDataRow="1" firstDataCol="1"/>
  <pivotFields count="2">
    <pivotField axis="axisRow" allDrilled="1" subtotalTop="0" showAll="0" measureFilter="1" sortType="descending" defaultSubtotal="0" defaultAttributeDrillState="1">
      <items count="10">
        <item x="0"/>
        <item x="1"/>
        <item x="2"/>
        <item x="3"/>
        <item x="4"/>
        <item x="5"/>
        <item x="6"/>
        <item x="7"/>
        <item x="8"/>
        <item x="9"/>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rowItems count="11">
    <i>
      <x v="1"/>
    </i>
    <i>
      <x v="3"/>
    </i>
    <i>
      <x/>
    </i>
    <i>
      <x v="7"/>
    </i>
    <i>
      <x v="9"/>
    </i>
    <i>
      <x v="4"/>
    </i>
    <i>
      <x v="5"/>
    </i>
    <i>
      <x v="6"/>
    </i>
    <i>
      <x v="8"/>
    </i>
    <i>
      <x v="2"/>
    </i>
    <i t="grand">
      <x/>
    </i>
  </rowItems>
  <colItems count="1">
    <i/>
  </colItems>
  <dataFields count="1">
    <dataField fld="1" subtotal="count" baseField="0" baseItem="0"/>
  </dataFields>
  <chartFormats count="1">
    <chartFormat chart="2" format="2" series="1">
      <pivotArea type="data" outline="0" fieldPosition="0">
        <references count="1">
          <reference field="4294967294" count="1" selected="0">
            <x v="0"/>
          </reference>
        </references>
      </pivotArea>
    </chartFormat>
  </chartFormats>
  <pivotHierarchies count="57">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filters count="1">
    <filter fld="0" type="count" id="1" iMeasureHier="42">
      <autoFilter ref="A1">
        <filterColumn colId="0">
          <top10 val="10" filterVal="10"/>
        </filterColumn>
      </autoFilter>
    </filter>
  </filters>
  <rowHierarchiesUsage count="1">
    <rowHierarchyUsage hierarchyUsage="35"/>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tores_Clean]"/>
        <x15:activeTabTopLevelEntity name="[Sale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76E7FEA-7FD5-46DE-B7A7-290A2412B71D}" name="pvtCategoryChart" cacheId="20" applyNumberFormats="0" applyBorderFormats="0" applyFontFormats="0" applyPatternFormats="0" applyAlignmentFormats="0" applyWidthHeightFormats="1" dataCaption="Values" updatedVersion="7" minRefreshableVersion="3" useAutoFormatting="1" subtotalHiddenItems="1" itemPrintTitles="1" createdVersion="7" indent="0" outline="1" outlineData="1" multipleFieldFilters="0" chartFormat="3">
  <location ref="P30:R36" firstHeaderRow="0" firstDataRow="1" firstDataCol="1"/>
  <pivotFields count="3">
    <pivotField axis="axisRow" allDrilled="1" subtotalTop="0" showAll="0" sortType="de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dataField="1" subtotalTop="0" showAll="0" defaultSubtotal="0"/>
  </pivotFields>
  <rowFields count="1">
    <field x="0"/>
  </rowFields>
  <rowItems count="6">
    <i>
      <x v="4"/>
    </i>
    <i>
      <x/>
    </i>
    <i>
      <x v="1"/>
    </i>
    <i>
      <x v="2"/>
    </i>
    <i>
      <x v="3"/>
    </i>
    <i t="grand">
      <x/>
    </i>
  </rowItems>
  <colFields count="1">
    <field x="-2"/>
  </colFields>
  <colItems count="2">
    <i>
      <x/>
    </i>
    <i i="1">
      <x v="1"/>
    </i>
  </colItems>
  <dataFields count="2">
    <dataField fld="1" subtotal="count" baseField="0" baseItem="0"/>
    <dataField fld="2" subtotal="count" baseField="0" baseItem="0"/>
  </dataField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Hierarchies count="57">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1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ducts_Clean]"/>
        <x15:activeTabTopLevelEntity name="[Sale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09C398A-184F-4FF3-B679-F71D46CEC354}" name="pvtBusinessKPIs" cacheId="481" applyNumberFormats="0" applyBorderFormats="0" applyFontFormats="0" applyPatternFormats="0" applyAlignmentFormats="0" applyWidthHeightFormats="1" dataCaption="Values" updatedVersion="7" minRefreshableVersion="3" useAutoFormatting="1" subtotalHiddenItems="1" itemPrintTitles="1" createdVersion="7" indent="0" outline="1" outlineData="1" multipleFieldFilters="0">
  <location ref="P3:U4" firstHeaderRow="0" firstDataRow="1" firstDataCol="0"/>
  <pivotFields count="7">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Items count="1">
    <i/>
  </rowItems>
  <colFields count="1">
    <field x="-2"/>
  </colFields>
  <colItems count="6">
    <i>
      <x/>
    </i>
    <i i="1">
      <x v="1"/>
    </i>
    <i i="2">
      <x v="2"/>
    </i>
    <i i="3">
      <x v="3"/>
    </i>
    <i i="4">
      <x v="4"/>
    </i>
    <i i="5">
      <x v="5"/>
    </i>
  </colItems>
  <dataFields count="6">
    <dataField fld="0" subtotal="count" baseField="0" baseItem="0"/>
    <dataField fld="1" subtotal="count" baseField="0" baseItem="0"/>
    <dataField fld="2" subtotal="count" baseField="0" baseItem="0"/>
    <dataField fld="3" subtotal="count" baseField="0" baseItem="0"/>
    <dataField fld="4" subtotal="count" baseField="0" baseItem="0" numFmtId="164"/>
    <dataField fld="5" subtotal="count" baseField="0" baseItem="0" numFmtId="164"/>
  </dataFields>
  <formats count="2">
    <format dxfId="2">
      <pivotArea outline="0" collapsedLevelsAreSubtotals="1" fieldPosition="0">
        <references count="1">
          <reference field="4294967294" count="1" selected="0">
            <x v="4"/>
          </reference>
        </references>
      </pivotArea>
    </format>
    <format dxfId="3">
      <pivotArea outline="0" collapsedLevelsAreSubtotals="1" fieldPosition="0">
        <references count="1">
          <reference field="4294967294" count="1" selected="0">
            <x v="5"/>
          </reference>
        </references>
      </pivotArea>
    </format>
  </formats>
  <pivotHierarchies count="57">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ales_Clean]"/>
        <x15:activeTabTopLevelEntity name="[Calendar_Clean]"/>
        <x15:activeTabTopLevelEntity name="[Products_Clean]"/>
        <x15:activeTabTopLevelEntity name="[Store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38B00E5D-04DB-41D6-89A7-9E8CB571FD84}" name="pvtInventoryAnalysis" cacheId="483" applyNumberFormats="0" applyBorderFormats="0" applyFontFormats="0" applyPatternFormats="0" applyAlignmentFormats="0" applyWidthHeightFormats="1" dataCaption="Values" updatedVersion="7" minRefreshableVersion="3" useAutoFormatting="1" subtotalHiddenItems="1" itemPrintTitles="1" createdVersion="7" indent="0" outline="1" outlineData="1" multipleFieldFilters="0" chartFormat="3">
  <location ref="K60:L66" firstHeaderRow="1" firstDataRow="1" firstDataCol="1"/>
  <pivotFields count="3">
    <pivotField axis="axisRow" allDrilled="1" subtotalTop="0" showAll="0" sortType="descending" defaultSubtotal="0" defaultAttributeDrillState="1">
      <items count="5">
        <item x="0"/>
        <item x="1"/>
        <item x="2"/>
        <item x="3"/>
        <item x="4"/>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s>
  <rowFields count="1">
    <field x="0"/>
  </rowFields>
  <rowItems count="6">
    <i>
      <x v="4"/>
    </i>
    <i>
      <x/>
    </i>
    <i>
      <x v="3"/>
    </i>
    <i>
      <x v="2"/>
    </i>
    <i>
      <x v="1"/>
    </i>
    <i t="grand">
      <x/>
    </i>
  </rowItems>
  <colItems count="1">
    <i/>
  </colItems>
  <dataFields count="1">
    <dataField fld="1" subtotal="count" baseField="0" baseItem="0"/>
  </dataFields>
  <chartFormats count="1">
    <chartFormat chart="2" format="4" series="1">
      <pivotArea type="data" outline="0" fieldPosition="0">
        <references count="1">
          <reference field="4294967294" count="1" selected="0">
            <x v="0"/>
          </reference>
        </references>
      </pivotArea>
    </chartFormat>
  </chartFormats>
  <pivotHierarchies count="57">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18"/>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ducts_Clean]"/>
        <x15:activeTabTopLevelEntity name="[Inventory_Clean]"/>
        <x15:activeTabTopLevelEntity name="[Store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FCDD74DA-3368-41A8-9C5B-B02D5B786C3E}" name="pvtCategoryPerformance" cacheId="485" applyNumberFormats="0" applyBorderFormats="0" applyFontFormats="0" applyPatternFormats="0" applyAlignmentFormats="0" applyWidthHeightFormats="1" dataCaption="Values" updatedVersion="7" minRefreshableVersion="3" useAutoFormatting="1" subtotalHiddenItems="1" itemPrintTitles="1" createdVersion="7" indent="0" outline="1" outlineData="1" multipleFieldFilters="0">
  <location ref="F3:I9" firstHeaderRow="0" firstDataRow="1" firstDataCol="1"/>
  <pivotFields count="5">
    <pivotField axis="axisRow" allDrilled="1" subtotalTop="0" showAll="0" sortType="descending" defaultSubtotal="0" defaultAttributeDrillState="1">
      <items count="5">
        <item x="0"/>
        <item x="1"/>
        <item x="2"/>
        <item x="3"/>
        <item x="4"/>
      </items>
      <autoSortScope>
        <pivotArea dataOnly="0" outline="0" fieldPosition="0">
          <references count="1">
            <reference field="4294967294" count="1" selected="0">
              <x v="1"/>
            </reference>
          </references>
        </pivotArea>
      </autoSortScope>
    </pivotField>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6">
    <i>
      <x v="4"/>
    </i>
    <i>
      <x v="1"/>
    </i>
    <i>
      <x/>
    </i>
    <i>
      <x v="2"/>
    </i>
    <i>
      <x v="3"/>
    </i>
    <i t="grand">
      <x/>
    </i>
  </rowItems>
  <colFields count="1">
    <field x="-2"/>
  </colFields>
  <colItems count="3">
    <i>
      <x/>
    </i>
    <i i="1">
      <x v="1"/>
    </i>
    <i i="2">
      <x v="2"/>
    </i>
  </colItems>
  <dataFields count="3">
    <dataField fld="1" subtotal="count" baseField="0" baseItem="0"/>
    <dataField fld="2" subtotal="count" baseField="0" baseItem="0"/>
    <dataField fld="3" subtotal="count" baseField="0" baseItem="0"/>
  </dataFields>
  <pivotHierarchies count="57">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18"/>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ducts_Clean]"/>
        <x15:activeTabTopLevelEntity name="[Sales_Clean]"/>
        <x15:activeTabTopLevelEntity name="[Calendar_Clean]"/>
        <x15:activeTabTopLevelEntity name="[Store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5FD21A3B-29CE-46B6-B361-E1A47E91B38E}" name="pvtCityPerformance" cacheId="487" applyNumberFormats="0" applyBorderFormats="0" applyFontFormats="0" applyPatternFormats="0" applyAlignmentFormats="0" applyWidthHeightFormats="1" dataCaption="Values" updatedVersion="7" minRefreshableVersion="3" useAutoFormatting="1" subtotalHiddenItems="1" itemPrintTitles="1" createdVersion="7" indent="0" outline="1" outlineData="1" multipleFieldFilters="0">
  <location ref="F30:H60" firstHeaderRow="0" firstDataRow="1" firstDataCol="1"/>
  <pivotFields count="4">
    <pivotField axis="axisRow" allDrilled="1" subtotalTop="0" showAll="0" sortType="descending"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autoSortScope>
        <pivotArea dataOnly="0" outline="0" fieldPosition="0">
          <references count="1">
            <reference field="4294967294" count="1" selected="0">
              <x v="1"/>
            </reference>
          </references>
        </pivotArea>
      </autoSortScope>
    </pivotField>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30">
    <i>
      <x v="7"/>
    </i>
    <i>
      <x v="10"/>
    </i>
    <i>
      <x v="16"/>
    </i>
    <i>
      <x v="12"/>
    </i>
    <i>
      <x v="11"/>
    </i>
    <i>
      <x v="20"/>
    </i>
    <i>
      <x v="15"/>
    </i>
    <i>
      <x v="27"/>
    </i>
    <i>
      <x v="21"/>
    </i>
    <i>
      <x v="24"/>
    </i>
    <i>
      <x v="3"/>
    </i>
    <i>
      <x v="1"/>
    </i>
    <i>
      <x v="17"/>
    </i>
    <i>
      <x v="5"/>
    </i>
    <i>
      <x v="26"/>
    </i>
    <i>
      <x v="23"/>
    </i>
    <i>
      <x v="22"/>
    </i>
    <i>
      <x/>
    </i>
    <i>
      <x v="2"/>
    </i>
    <i>
      <x v="4"/>
    </i>
    <i>
      <x v="25"/>
    </i>
    <i>
      <x v="14"/>
    </i>
    <i>
      <x v="19"/>
    </i>
    <i>
      <x v="8"/>
    </i>
    <i>
      <x v="9"/>
    </i>
    <i>
      <x v="18"/>
    </i>
    <i>
      <x v="28"/>
    </i>
    <i>
      <x v="13"/>
    </i>
    <i>
      <x v="6"/>
    </i>
    <i t="grand">
      <x/>
    </i>
  </rowItems>
  <colFields count="1">
    <field x="-2"/>
  </colFields>
  <colItems count="2">
    <i>
      <x/>
    </i>
    <i i="1">
      <x v="1"/>
    </i>
  </colItems>
  <dataFields count="2">
    <dataField fld="1" subtotal="count" baseField="0" baseItem="0"/>
    <dataField fld="2" subtotal="count" baseField="0" baseItem="0"/>
  </dataFields>
  <pivotHierarchies count="57">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3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tores_Clean]"/>
        <x15:activeTabTopLevelEntity name="[Sales_Clean]"/>
        <x15:activeTabTopLevelEntity name="[Calendar_Clean]"/>
        <x15:activeTabTopLevelEntity name="[Product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43BD3BEE-AEA8-43C0-B598-F939B54D5774}" name="pvtProductPerformance" cacheId="489" applyNumberFormats="0" applyBorderFormats="0" applyFontFormats="0" applyPatternFormats="0" applyAlignmentFormats="0" applyWidthHeightFormats="1" dataCaption="Values" updatedVersion="7" minRefreshableVersion="3" useAutoFormatting="1" subtotalHiddenItems="1" itemPrintTitles="1" createdVersion="7" indent="0" outline="1" outlineData="1" multipleFieldFilters="0">
  <location ref="A30:D66" firstHeaderRow="0" firstDataRow="1" firstDataCol="1"/>
  <pivotFields count="5">
    <pivotField axis="axisRow" allDrilled="1" subtotalTop="0" showAll="0" sortType="descending" defaultSubtotal="0" defaultAttributeDrillState="1">
      <items count="3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s>
      <autoSortScope>
        <pivotArea dataOnly="0" outline="0" fieldPosition="0">
          <references count="1">
            <reference field="4294967294" count="1" selected="0">
              <x v="1"/>
            </reference>
          </references>
        </pivotArea>
      </autoSortScope>
    </pivotField>
    <pivotField dataField="1" subtotalTop="0" showAll="0" defaultSubtotal="0"/>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36">
    <i>
      <x v="5"/>
    </i>
    <i>
      <x/>
    </i>
    <i>
      <x v="17"/>
    </i>
    <i>
      <x v="7"/>
    </i>
    <i>
      <x v="13"/>
    </i>
    <i>
      <x v="2"/>
    </i>
    <i>
      <x v="16"/>
    </i>
    <i>
      <x v="23"/>
    </i>
    <i>
      <x v="6"/>
    </i>
    <i>
      <x v="10"/>
    </i>
    <i>
      <x v="18"/>
    </i>
    <i>
      <x v="1"/>
    </i>
    <i>
      <x v="9"/>
    </i>
    <i>
      <x v="12"/>
    </i>
    <i>
      <x v="24"/>
    </i>
    <i>
      <x v="20"/>
    </i>
    <i>
      <x v="15"/>
    </i>
    <i>
      <x v="29"/>
    </i>
    <i>
      <x v="28"/>
    </i>
    <i>
      <x v="30"/>
    </i>
    <i>
      <x v="33"/>
    </i>
    <i>
      <x v="14"/>
    </i>
    <i>
      <x v="22"/>
    </i>
    <i>
      <x v="19"/>
    </i>
    <i>
      <x v="8"/>
    </i>
    <i>
      <x v="27"/>
    </i>
    <i>
      <x v="25"/>
    </i>
    <i>
      <x v="26"/>
    </i>
    <i>
      <x v="11"/>
    </i>
    <i>
      <x v="31"/>
    </i>
    <i>
      <x v="21"/>
    </i>
    <i>
      <x v="32"/>
    </i>
    <i>
      <x v="3"/>
    </i>
    <i>
      <x v="34"/>
    </i>
    <i>
      <x v="4"/>
    </i>
    <i t="grand">
      <x/>
    </i>
  </rowItems>
  <colFields count="1">
    <field x="-2"/>
  </colFields>
  <colItems count="3">
    <i>
      <x/>
    </i>
    <i i="1">
      <x v="1"/>
    </i>
    <i i="2">
      <x v="2"/>
    </i>
  </colItems>
  <dataFields count="3">
    <dataField fld="1" subtotal="count" baseField="0" baseItem="0"/>
    <dataField fld="2" subtotal="count" baseField="0" baseItem="0"/>
    <dataField fld="3" subtotal="count" baseField="0" baseItem="0" numFmtId="171"/>
  </dataFields>
  <formats count="1">
    <format dxfId="1">
      <pivotArea outline="0" collapsedLevelsAreSubtotals="1" fieldPosition="0">
        <references count="1">
          <reference field="4294967294" count="1" selected="0">
            <x v="2"/>
          </reference>
        </references>
      </pivotArea>
    </format>
  </formats>
  <pivotHierarchies count="57">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17"/>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Products_Clean]"/>
        <x15:activeTabTopLevelEntity name="[Sales_Clean]"/>
        <x15:activeTabTopLevelEntity name="[Calendar_Clean]"/>
        <x15:activeTabTopLevelEntity name="[Store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88364AB8-6761-4B48-B55E-DB9E0F4E1F01}" name="pvtMonthlyPerformance" cacheId="491" applyNumberFormats="0" applyBorderFormats="0" applyFontFormats="0" applyPatternFormats="0" applyAlignmentFormats="0" applyWidthHeightFormats="1" dataCaption="Values" tag="a17af924-ef86-4071-83ad-438104c8a4c4" updatedVersion="7" minRefreshableVersion="3" useAutoFormatting="1" subtotalHiddenItems="1" itemPrintTitles="1" createdVersion="7" indent="0" outline="1" outlineData="1" multipleFieldFilters="0" chartFormat="3">
  <location ref="A3:C25" firstHeaderRow="0" firstDataRow="1" firstDataCol="1"/>
  <pivotFields count="4">
    <pivotField axis="axisRow"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dataField="1" subtotalTop="0" showAll="0" defaultSubtotal="0"/>
    <pivotField dataField="1" subtotalTop="0" showAll="0" defaultSubtotal="0"/>
    <pivotField allDrilled="1" subtotalTop="0" showAll="0" dataSourceSort="1" defaultSubtotal="0" defaultAttributeDrillState="1"/>
  </pivotFields>
  <rowFields count="1">
    <field x="0"/>
  </rowFields>
  <rowItems count="22">
    <i>
      <x/>
    </i>
    <i>
      <x v="1"/>
    </i>
    <i>
      <x v="2"/>
    </i>
    <i>
      <x v="3"/>
    </i>
    <i>
      <x v="4"/>
    </i>
    <i>
      <x v="5"/>
    </i>
    <i>
      <x v="6"/>
    </i>
    <i>
      <x v="7"/>
    </i>
    <i>
      <x v="8"/>
    </i>
    <i>
      <x v="9"/>
    </i>
    <i>
      <x v="10"/>
    </i>
    <i>
      <x v="11"/>
    </i>
    <i>
      <x v="12"/>
    </i>
    <i>
      <x v="13"/>
    </i>
    <i>
      <x v="14"/>
    </i>
    <i>
      <x v="15"/>
    </i>
    <i>
      <x v="16"/>
    </i>
    <i>
      <x v="17"/>
    </i>
    <i>
      <x v="18"/>
    </i>
    <i>
      <x v="19"/>
    </i>
    <i>
      <x v="20"/>
    </i>
    <i t="grand">
      <x/>
    </i>
  </rowItems>
  <colFields count="1">
    <field x="-2"/>
  </colFields>
  <colItems count="2">
    <i>
      <x/>
    </i>
    <i i="1">
      <x v="1"/>
    </i>
  </colItems>
  <dataFields count="2">
    <dataField fld="1" subtotal="count" baseField="0" baseItem="0"/>
    <dataField fld="2" subtotal="count" baseField="0" baseItem="0"/>
  </dataFields>
  <chartFormats count="2">
    <chartFormat chart="2" format="4" series="1">
      <pivotArea type="data" outline="0" fieldPosition="0">
        <references count="1">
          <reference field="4294967294" count="1" selected="0">
            <x v="0"/>
          </reference>
        </references>
      </pivotArea>
    </chartFormat>
    <chartFormat chart="2" format="5" series="1">
      <pivotArea type="data" outline="0" fieldPosition="0">
        <references count="1">
          <reference field="4294967294" count="1" selected="0">
            <x v="1"/>
          </reference>
        </references>
      </pivotArea>
    </chartFormat>
  </chartFormats>
  <pivotHierarchies count="57">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6"/>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alendar_Clean]"/>
        <x15:activeTabTopLevelEntity name="[Sales_Clean]"/>
        <x15:activeTabTopLevelEntity name="[Products_Clean]"/>
        <x15:activeTabTopLevelEntity name="[Stores_Clean]"/>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9E850DA4-07F5-48D5-9A7D-F75FEA11735F}" name="pvtStorePerformance" cacheId="494" applyNumberFormats="0" applyBorderFormats="0" applyFontFormats="0" applyPatternFormats="0" applyAlignmentFormats="0" applyWidthHeightFormats="1" dataCaption="Values" updatedVersion="7" minRefreshableVersion="3" useAutoFormatting="1" subtotalHiddenItems="1" itemPrintTitles="1" createdVersion="7" indent="0" outline="1" outlineData="1" multipleFieldFilters="0">
  <location ref="K3:N54" firstHeaderRow="0" firstDataRow="1" firstDataCol="1"/>
  <pivotFields count="4">
    <pivotField axis="axisRow" allDrilled="1" subtotalTop="0" showAll="0" dataSourceSort="1" defaultSubtotal="0" defaultAttributeDrillState="1">
      <items count="5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s>
    </pivotField>
    <pivotField dataField="1" subtotalTop="0" showAll="0" defaultSubtotal="0"/>
    <pivotField dataField="1" subtotalTop="0" showAll="0" defaultSubtotal="0"/>
    <pivotField dataField="1" subtotalTop="0" showAll="0" defaultSubtotal="0"/>
  </pivotFields>
  <rowFields count="1">
    <field x="0"/>
  </rowFields>
  <rowItems count="5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t="grand">
      <x/>
    </i>
  </rowItems>
  <colFields count="1">
    <field x="-2"/>
  </colFields>
  <colItems count="3">
    <i>
      <x/>
    </i>
    <i i="1">
      <x v="1"/>
    </i>
    <i i="2">
      <x v="2"/>
    </i>
  </colItems>
  <dataFields count="3">
    <dataField fld="1" subtotal="count" baseField="0" baseItem="0"/>
    <dataField fld="2" subtotal="count" baseField="0" baseItem="0"/>
    <dataField fld="3" subtotal="count" baseField="0" baseItem="0"/>
  </dataFields>
  <pivotHierarchies count="57">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multipleItemSelectionAllowed="1"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35"/>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tores_Clean]"/>
        <x15:activeTabTopLevelEntity name="[Sales_Clean]"/>
        <x15:activeTabTopLevelEntity name="[Calendar_Clean]"/>
        <x15:activeTabTopLevelEntity name="[Products_Clean]"/>
      </x15:pivotTableUISettings>
    </ext>
    <ext xmlns:xpdl="http://schemas.microsoft.com/office/spreadsheetml/2016/pivotdefaultlayout" uri="{747A6164-185A-40DC-8AA5-F01512510D54}">
      <xpdl:pivotTableDefinition16 EnabledSubtotalsDefault="0" SubtotalsOnTopDefault="0"/>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3098DAA2-9758-4730-BAA7-DDAE1EE5F32B}" autoFormatId="16" applyNumberFormats="0" applyBorderFormats="0" applyFontFormats="0" applyPatternFormats="0" applyAlignmentFormats="0" applyWidthHeightFormats="0">
  <queryTableRefresh nextId="14">
    <queryTableFields count="13">
      <queryTableField id="1" name="Year" tableColumnId="1"/>
      <queryTableField id="2" name="Month_Number" tableColumnId="2"/>
      <queryTableField id="3" name="Month_Name" tableColumnId="3"/>
      <queryTableField id="4" name="Month_Start" tableColumnId="4"/>
      <queryTableField id="5" name="Year_Month" tableColumnId="5"/>
      <queryTableField id="6" name="Year_Month_Sort" tableColumnId="6"/>
      <queryTableField id="7" name="Product_Category" tableColumnId="7"/>
      <queryTableField id="8" name="Units_Sold" tableColumnId="8"/>
      <queryTableField id="9" name="Sales_Revenue" tableColumnId="9"/>
      <queryTableField id="10" name="Total_Cost" tableColumnId="10"/>
      <queryTableField id="11" name="Gross_Profit" tableColumnId="11"/>
      <queryTableField id="12" name="Transaction_Lines" tableColumnId="12"/>
      <queryTableField id="13" name="Profit_Margin" tableColumnId="13"/>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Year" xr10:uid="{E0550F06-66A9-4ADB-B99D-03253A66A044}" sourceName="[Calendar_Clean].[Year]">
  <pivotTables>
    <pivotTable tabId="6" name="pvtMonthlyPerformance"/>
    <pivotTable tabId="6" name="pvtBusinessKPIs"/>
    <pivotTable tabId="6" name="pvtCategoryPerformance"/>
    <pivotTable tabId="6" name="pvtCityPerformance"/>
    <pivotTable tabId="6" name="pvtProductPerformance"/>
    <pivotTable tabId="6" name="pvtStorePerformance"/>
  </pivotTables>
  <data>
    <olap pivotCacheId="956296691">
      <levels count="2">
        <level uniqueName="[Calendar_Clean].[Year].[(All)]" sourceCaption="(All)" count="0"/>
        <level uniqueName="[Calendar_Clean].[Year].[Year]" sourceCaption="Year" count="2">
          <ranges>
            <range startItem="0">
              <i n="[Calendar_Clean].[Year].&amp;[2022]" c="2022"/>
              <i n="[Calendar_Clean].[Year].&amp;[2023]" c="2023"/>
            </range>
          </ranges>
        </level>
      </levels>
      <selections count="1">
        <selection n="[Calendar_Clean].[Year].[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Category" xr10:uid="{2F544B03-5A3F-44A1-9768-160E1D67D81F}" sourceName="[Products_Clean].[Product_Category]">
  <pivotTables>
    <pivotTable tabId="6" name="pvtMonthlyPerformance"/>
    <pivotTable tabId="6" name="pvtBusinessKPIs"/>
    <pivotTable tabId="6" name="pvtCategoryPerformance"/>
    <pivotTable tabId="6" name="pvtCityPerformance"/>
    <pivotTable tabId="6" name="pvtInventoryAnalysis"/>
    <pivotTable tabId="6" name="pvtProductPerformance"/>
    <pivotTable tabId="6" name="pvtStorePerformance"/>
  </pivotTables>
  <data>
    <olap pivotCacheId="956296691">
      <levels count="2">
        <level uniqueName="[Products_Clean].[Product_Category].[(All)]" sourceCaption="(All)" count="0"/>
        <level uniqueName="[Products_Clean].[Product_Category].[Product_Category]" sourceCaption="Product_Category" count="5">
          <ranges>
            <range startItem="0">
              <i n="[Products_Clean].[Product_Category].&amp;[Art &amp; Crafts]" c="Art &amp; Crafts"/>
              <i n="[Products_Clean].[Product_Category].&amp;[Electronics]" c="Electronics"/>
              <i n="[Products_Clean].[Product_Category].&amp;[Games]" c="Games"/>
              <i n="[Products_Clean].[Product_Category].&amp;[Sports &amp; Outdoors]" c="Sports &amp; Outdoors"/>
              <i n="[Products_Clean].[Product_Category].&amp;[Toys]" c="Toys"/>
            </range>
          </ranges>
        </level>
      </levels>
      <selections count="1">
        <selection n="[Products_Clean].[Product_Category].[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ore_Location" xr10:uid="{4175D187-97CD-4212-AB6F-493178E5FBE2}" sourceName="[Stores_Clean].[Store_Location]">
  <pivotTables>
    <pivotTable tabId="6" name="pvtMonthlyPerformance"/>
    <pivotTable tabId="6" name="pvtBusinessKPIs"/>
    <pivotTable tabId="6" name="pvtCategoryPerformance"/>
    <pivotTable tabId="6" name="pvtCityPerformance"/>
    <pivotTable tabId="6" name="pvtInventoryAnalysis"/>
    <pivotTable tabId="6" name="pvtProductPerformance"/>
    <pivotTable tabId="6" name="pvtStorePerformance"/>
  </pivotTables>
  <data>
    <olap pivotCacheId="956296691">
      <levels count="2">
        <level uniqueName="[Stores_Clean].[Store_Location].[(All)]" sourceCaption="(All)" count="0"/>
        <level uniqueName="[Stores_Clean].[Store_Location].[Store_Location]" sourceCaption="Store_Location" count="4">
          <ranges>
            <range startItem="0">
              <i n="[Stores_Clean].[Store_Location].&amp;[Airport]" c="Airport"/>
              <i n="[Stores_Clean].[Store_Location].&amp;[Commercial]" c="Commercial"/>
              <i n="[Stores_Clean].[Store_Location].&amp;[Downtown]" c="Downtown"/>
              <i n="[Stores_Clean].[Store_Location].&amp;[Residential]" c="Residential"/>
            </range>
          </ranges>
        </level>
      </levels>
      <selections count="1">
        <selection n="[Stores_Clean].[Store_Location].[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ore_Name" xr10:uid="{E458C8E5-8477-4113-AFA5-DE737C649293}" sourceName="[Stores_Clean].[Store_Name]">
  <pivotTables>
    <pivotTable tabId="6" name="pvtMonthlyPerformance"/>
    <pivotTable tabId="6" name="pvtBusinessKPIs"/>
    <pivotTable tabId="6" name="pvtCategoryPerformance"/>
    <pivotTable tabId="6" name="pvtCityPerformance"/>
    <pivotTable tabId="6" name="pvtInventoryAnalysis"/>
    <pivotTable tabId="6" name="pvtProductPerformance"/>
    <pivotTable tabId="6" name="pvtStorePerformance"/>
  </pivotTables>
  <data>
    <olap pivotCacheId="956296691">
      <levels count="2">
        <level uniqueName="[Stores_Clean].[Store_Name].[(All)]" sourceCaption="(All)" count="0"/>
        <level uniqueName="[Stores_Clean].[Store_Name].[Store_Name]" sourceCaption="Store_Name" count="50">
          <ranges>
            <range startItem="0">
              <i n="[Stores_Clean].[Store_Name].&amp;[Maven Toys Aguascalientes 1]" c="Maven Toys Aguascalientes 1"/>
              <i n="[Stores_Clean].[Store_Name].&amp;[Maven Toys Campeche 1]" c="Maven Toys Campeche 1"/>
              <i n="[Stores_Clean].[Store_Name].&amp;[Maven Toys Campeche 2]" c="Maven Toys Campeche 2"/>
              <i n="[Stores_Clean].[Store_Name].&amp;[Maven Toys Chetumal 1]" c="Maven Toys Chetumal 1"/>
              <i n="[Stores_Clean].[Store_Name].&amp;[Maven Toys Chihuahua 1]" c="Maven Toys Chihuahua 1"/>
              <i n="[Stores_Clean].[Store_Name].&amp;[Maven Toys Chihuahua 2]" c="Maven Toys Chihuahua 2"/>
              <i n="[Stores_Clean].[Store_Name].&amp;[Maven Toys Chilpancingo 1]" c="Maven Toys Chilpancingo 1"/>
              <i n="[Stores_Clean].[Store_Name].&amp;[Maven Toys Ciudad de Mexico 1]" c="Maven Toys Ciudad de Mexico 1"/>
              <i n="[Stores_Clean].[Store_Name].&amp;[Maven Toys Ciudad de Mexico 2]" c="Maven Toys Ciudad de Mexico 2"/>
              <i n="[Stores_Clean].[Store_Name].&amp;[Maven Toys Ciudad de Mexico 3]" c="Maven Toys Ciudad de Mexico 3"/>
              <i n="[Stores_Clean].[Store_Name].&amp;[Maven Toys Ciudad de Mexico 4]" c="Maven Toys Ciudad de Mexico 4"/>
              <i n="[Stores_Clean].[Store_Name].&amp;[Maven Toys Ciudad Victoria 1]" c="Maven Toys Ciudad Victoria 1"/>
              <i n="[Stores_Clean].[Store_Name].&amp;[Maven Toys Cuernavaca 1]" c="Maven Toys Cuernavaca 1"/>
              <i n="[Stores_Clean].[Store_Name].&amp;[Maven Toys Culiacan 1]" c="Maven Toys Culiacan 1"/>
              <i n="[Stores_Clean].[Store_Name].&amp;[Maven Toys Durango 1]" c="Maven Toys Durango 1"/>
              <i n="[Stores_Clean].[Store_Name].&amp;[Maven Toys Guadalajara 1]" c="Maven Toys Guadalajara 1"/>
              <i n="[Stores_Clean].[Store_Name].&amp;[Maven Toys Guadalajara 2]" c="Maven Toys Guadalajara 2"/>
              <i n="[Stores_Clean].[Store_Name].&amp;[Maven Toys Guadalajara 3]" c="Maven Toys Guadalajara 3"/>
              <i n="[Stores_Clean].[Store_Name].&amp;[Maven Toys Guadalajara 4]" c="Maven Toys Guadalajara 4"/>
              <i n="[Stores_Clean].[Store_Name].&amp;[Maven Toys Guanajuato 1]" c="Maven Toys Guanajuato 1"/>
              <i n="[Stores_Clean].[Store_Name].&amp;[Maven Toys Guanajuato 2]" c="Maven Toys Guanajuato 2"/>
              <i n="[Stores_Clean].[Store_Name].&amp;[Maven Toys Guanajuato 3]" c="Maven Toys Guanajuato 3"/>
              <i n="[Stores_Clean].[Store_Name].&amp;[Maven Toys Hermosillo 1]" c="Maven Toys Hermosillo 1"/>
              <i n="[Stores_Clean].[Store_Name].&amp;[Maven Toys Hermosillo 2]" c="Maven Toys Hermosillo 2"/>
              <i n="[Stores_Clean].[Store_Name].&amp;[Maven Toys Hermosillo 3]" c="Maven Toys Hermosillo 3"/>
              <i n="[Stores_Clean].[Store_Name].&amp;[Maven Toys La Paz 1]" c="Maven Toys La Paz 1"/>
              <i n="[Stores_Clean].[Store_Name].&amp;[Maven Toys Merida 1]" c="Maven Toys Merida 1"/>
              <i n="[Stores_Clean].[Store_Name].&amp;[Maven Toys Mexicali 1]" c="Maven Toys Mexicali 1"/>
              <i n="[Stores_Clean].[Store_Name].&amp;[Maven Toys Mexicali 2]" c="Maven Toys Mexicali 2"/>
              <i n="[Stores_Clean].[Store_Name].&amp;[Maven Toys Monterrey 1]" c="Maven Toys Monterrey 1"/>
              <i n="[Stores_Clean].[Store_Name].&amp;[Maven Toys Monterrey 2]" c="Maven Toys Monterrey 2"/>
              <i n="[Stores_Clean].[Store_Name].&amp;[Maven Toys Monterrey 3]" c="Maven Toys Monterrey 3"/>
              <i n="[Stores_Clean].[Store_Name].&amp;[Maven Toys Monterrey 4]" c="Maven Toys Monterrey 4"/>
              <i n="[Stores_Clean].[Store_Name].&amp;[Maven Toys Morelia 1]" c="Maven Toys Morelia 1"/>
              <i n="[Stores_Clean].[Store_Name].&amp;[Maven Toys Oaxaca 1]" c="Maven Toys Oaxaca 1"/>
              <i n="[Stores_Clean].[Store_Name].&amp;[Maven Toys Pachuca 1]" c="Maven Toys Pachuca 1"/>
              <i n="[Stores_Clean].[Store_Name].&amp;[Maven Toys Puebla 1]" c="Maven Toys Puebla 1"/>
              <i n="[Stores_Clean].[Store_Name].&amp;[Maven Toys Puebla 2]" c="Maven Toys Puebla 2"/>
              <i n="[Stores_Clean].[Store_Name].&amp;[Maven Toys Puebla 3]" c="Maven Toys Puebla 3"/>
              <i n="[Stores_Clean].[Store_Name].&amp;[Maven Toys Saltillo 1]" c="Maven Toys Saltillo 1"/>
              <i n="[Stores_Clean].[Store_Name].&amp;[Maven Toys Saltillo 2]" c="Maven Toys Saltillo 2"/>
              <i n="[Stores_Clean].[Store_Name].&amp;[Maven Toys San Luis Potosi 1]" c="Maven Toys San Luis Potosi 1"/>
              <i n="[Stores_Clean].[Store_Name].&amp;[Maven Toys Santiago 1]" c="Maven Toys Santiago 1"/>
              <i n="[Stores_Clean].[Store_Name].&amp;[Maven Toys Toluca 1]" c="Maven Toys Toluca 1"/>
              <i n="[Stores_Clean].[Store_Name].&amp;[Maven Toys Toluca 2]" c="Maven Toys Toluca 2"/>
              <i n="[Stores_Clean].[Store_Name].&amp;[Maven Toys Tuxtla Gutierrez 1]" c="Maven Toys Tuxtla Gutierrez 1"/>
              <i n="[Stores_Clean].[Store_Name].&amp;[Maven Toys Villahermosa 1]" c="Maven Toys Villahermosa 1"/>
              <i n="[Stores_Clean].[Store_Name].&amp;[Maven Toys Xalapa 1]" c="Maven Toys Xalapa 1"/>
              <i n="[Stores_Clean].[Store_Name].&amp;[Maven Toys Xalapa 2]" c="Maven Toys Xalapa 2"/>
              <i n="[Stores_Clean].[Store_Name].&amp;[Maven Toys Zacatecas 1]" c="Maven Toys Zacatecas 1"/>
            </range>
          </ranges>
        </level>
      </levels>
      <selections count="1">
        <selection n="[Stores_Clean].[Store_Name].[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Year" xr10:uid="{62C4B015-A314-4F3E-B8CB-4C26CDB3A636}" cache="Slicer_Year" caption="Year" level="1" rowHeight="234950"/>
  <slicer name="Product_Category" xr10:uid="{6DCD8054-7731-49C6-9806-2177862882B7}" cache="Slicer_Product_Category" caption="Product Category" level="1" rowHeight="234950"/>
  <slicer name="Store_Location" xr10:uid="{3FAADC59-5368-4EFD-99B3-23EA96227A65}" cache="Slicer_Store_Location" caption="Store Location" level="1" rowHeight="234950"/>
  <slicer name="Store_Name" xr10:uid="{BDCC6642-2E79-4A47-B5F8-8D4F6F45B41B}" cache="Slicer_Store_Name" caption="Store Name" startItem="14" level="1" rowHeight="234950"/>
</slicers>
</file>

<file path=xl/tables/_rels/table5.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752E24-42C1-407E-AF35-91562453A375}" name="tblScenarios" displayName="tblScenarios" ref="A7:C10" totalsRowShown="0">
  <autoFilter ref="A7:C10" xr:uid="{12752E24-42C1-407E-AF35-91562453A375}"/>
  <tableColumns count="3">
    <tableColumn id="1" xr3:uid="{6CFD3D49-7D6F-4B0B-BF8B-E25890D7913C}" name="Scenario"/>
    <tableColumn id="2" xr3:uid="{10A64FC2-BAF7-4AAE-87C0-64213853E232}" name="Sales Growth" dataDxfId="43"/>
    <tableColumn id="3" xr3:uid="{6D192CE3-9E90-444A-9D85-B5795AB8C0AA}" name="Cost Change" dataDxfId="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F8C0EE-FD4F-4E71-843B-F2B3DAEC9915}" name="tblCategoryTargets" displayName="tblCategoryTargets" ref="E7:F12" totalsRowShown="0">
  <autoFilter ref="E7:F12" xr:uid="{A1F8C0EE-FD4F-4E71-843B-F2B3DAEC9915}"/>
  <tableColumns count="2">
    <tableColumn id="1" xr3:uid="{2CA22FE0-F13B-4F78-B790-C041AD92FAD7}" name="Category"/>
    <tableColumn id="2" xr3:uid="{1DDB95D9-F9E7-4365-922A-3C2010FD63AB}" name="Budget Growth Target" dataDxfId="4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E1DC4CC-B585-44A9-87F8-35A65993212C}" name="tblBudget" displayName="tblBudget" ref="A6:L51" totalsRowShown="0">
  <autoFilter ref="A6:L51" xr:uid="{1E1DC4CC-B585-44A9-87F8-35A65993212C}"/>
  <tableColumns count="12">
    <tableColumn id="1" xr3:uid="{A7D15DFF-D57A-4886-A159-242AAEE1C6BF}" name="Month_Start" dataDxfId="34">
      <calculatedColumnFormula>DATE(2023,INT((ROW()-7)/5)+1,1)</calculatedColumnFormula>
    </tableColumn>
    <tableColumn id="2" xr3:uid="{F505B674-5B93-48AE-845F-833FF5C61B8C}" name="Category">
      <calculatedColumnFormula>INDEX(tblCategoryTargets[Category],MOD(ROW()-7,5)+1)</calculatedColumnFormula>
    </tableColumn>
    <tableColumn id="3" xr3:uid="{CA51C472-28F0-4FD2-A947-5BF73699E160}" name="Prior_Year_Sales" dataDxfId="33" dataCellStyle="Comma">
      <calculatedColumnFormula>SUMIFS(tblMonthlyActuals[Sales_Revenue],tblMonthlyActuals[Month_Start],EDATE($A7,-12),tblMonthlyActuals[Product_Category],$B7)</calculatedColumnFormula>
    </tableColumn>
    <tableColumn id="4" xr3:uid="{E7CB2547-FB48-486E-AE44-BD859CCEB37B}" name="Growth_Target" dataCellStyle="Percent">
      <calculatedColumnFormula>IFERROR(INDEX(tblCategoryTargets[Budget Growth Target],MATCH(tblBudget[[#This Row],[Category]],tblCategoryTargets[Category],0)),0)</calculatedColumnFormula>
    </tableColumn>
    <tableColumn id="5" xr3:uid="{DD6CC2F2-9692-435E-BF98-F2492794116A}" name="Budgeted_Sales" dataDxfId="32" dataCellStyle="Comma">
      <calculatedColumnFormula>C7*(1+D7)</calculatedColumnFormula>
    </tableColumn>
    <tableColumn id="6" xr3:uid="{3219B859-BEE4-4D0C-9F40-382CECD45C3A}" name="Actual_Sales" dataDxfId="31">
      <calculatedColumnFormula>SUMIFS(tblMonthlyActuals[Sales_Revenue],tblMonthlyActuals[Month_Start],$A7,tblMonthlyActuals[Product_Category],$B7)</calculatedColumnFormula>
    </tableColumn>
    <tableColumn id="7" xr3:uid="{F138C67C-1281-4705-A929-A8A25E4643B0}" name="Sales_Variance" dataDxfId="30">
      <calculatedColumnFormula>F7-E7</calculatedColumnFormula>
    </tableColumn>
    <tableColumn id="8" xr3:uid="{0EE707B4-68FF-41C0-8E67-31F23B2FD561}" name="Sales_Variance_Pct" dataDxfId="29" dataCellStyle="Percent">
      <calculatedColumnFormula>IFERROR(G7/E7,0)</calculatedColumnFormula>
    </tableColumn>
    <tableColumn id="9" xr3:uid="{A3893BE9-4EA9-48CC-A379-5D8259CAA67D}" name="Status" dataDxfId="28">
      <calculatedColumnFormula>IF(G7&gt;=0,"Above Budget","Below Budget")</calculatedColumnFormula>
    </tableColumn>
    <tableColumn id="10" xr3:uid="{D0A78535-B4A2-432D-9D41-2941804FC197}" name="Budgeted_Profit" dataDxfId="27">
      <calculatedColumnFormula>E7*Assumptions!$I$8</calculatedColumnFormula>
    </tableColumn>
    <tableColumn id="11" xr3:uid="{18A2D78C-F332-49EE-B7B6-39DC10A92122}" name="Actual_Profit" dataDxfId="26">
      <calculatedColumnFormula>SUMIFS(tblMonthlyActuals[Gross_Profit],tblMonthlyActuals[Month_Start],$A7,tblMonthlyActuals[Product_Category],$B7)</calculatedColumnFormula>
    </tableColumn>
    <tableColumn id="12" xr3:uid="{246AB5B2-EC13-48BE-8CA6-104477591A73}" name="Profit_Variance" dataDxfId="25">
      <calculatedColumnFormula>K7-J7</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8FCF8A-382C-48ED-B0B7-646D4924B6B6}" name="tblForecast" displayName="tblForecast" ref="A6:K21" totalsRowShown="0">
  <autoFilter ref="A6:K21" xr:uid="{038FCF8A-382C-48ED-B0B7-646D4924B6B6}"/>
  <tableColumns count="11">
    <tableColumn id="1" xr3:uid="{9DDDB7F1-9BE8-4E6B-9DAA-0F6AC6B180D7}" name="Forecast_Month" dataDxfId="24"/>
    <tableColumn id="2" xr3:uid="{8A5A7887-ECC2-4144-9CE4-AD51CBACFFE0}" name="Category"/>
    <tableColumn id="3" xr3:uid="{1A4D1AA1-6297-4683-BBCA-051E1BECCC13}" name="Baseline_Sales" dataDxfId="23">
      <calculatedColumnFormula>SUMIFS(tblMonthlyActuals[Sales_Revenue],tblMonthlyActuals[Month_Start],EDATE($A7,-12),tblMonthlyActuals[Product_Category],$B7)</calculatedColumnFormula>
    </tableColumn>
    <tableColumn id="4" xr3:uid="{26C4A231-5D74-47D7-989E-80289E873F2E}" name="Selected_Growth" dataDxfId="22">
      <calculatedColumnFormula>Assumptions!$B$4</calculatedColumnFormula>
    </tableColumn>
    <tableColumn id="5" xr3:uid="{EB2D6270-7EEB-4095-824A-B305C2DE4C4A}" name="Forecasted_Sales" dataDxfId="21">
      <calculatedColumnFormula>C7*(1+D7)</calculatedColumnFormula>
    </tableColumn>
    <tableColumn id="6" xr3:uid="{FF20759A-8B5B-474D-8169-BF3ED7408EEB}" name="Baseline_Cost" dataDxfId="20">
      <calculatedColumnFormula>SUMIFS(tblMonthlyActuals[Total_Cost],tblMonthlyActuals[Month_Start],EDATE($A7,-12),tblMonthlyActuals[Product_Category],$B7)</calculatedColumnFormula>
    </tableColumn>
    <tableColumn id="7" xr3:uid="{921F011C-FA4F-4527-B0B9-BCB756A2D429}" name="Cost_Change" dataDxfId="19">
      <calculatedColumnFormula>Assumptions!$B$5</calculatedColumnFormula>
    </tableColumn>
    <tableColumn id="8" xr3:uid="{A21DDBDE-8125-42B1-9FEB-C0AF84556FC4}" name="Forecasted_Cost" dataDxfId="18">
      <calculatedColumnFormula>F7*(1+D7)*(1+G7)</calculatedColumnFormula>
    </tableColumn>
    <tableColumn id="9" xr3:uid="{02B5ED36-80F7-4CD7-A5FB-770E96D9CB78}" name="Forecasted_Profit" dataDxfId="17">
      <calculatedColumnFormula>E7-H7</calculatedColumnFormula>
    </tableColumn>
    <tableColumn id="10" xr3:uid="{ECF0412D-E6DE-4174-AF3F-C069FD5B11BB}" name="Forecasted_Margin" dataDxfId="16" dataCellStyle="Percent">
      <calculatedColumnFormula>IFERROR(I7/E7,0)</calculatedColumnFormula>
    </tableColumn>
    <tableColumn id="11" xr3:uid="{5E796E89-B628-4415-ADF3-9A0E7E836847}" name="Scenario" dataDxfId="15">
      <calculatedColumnFormula>Assumptions!$B$3</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BDF2404-E0E4-4775-A96C-A953564E95EB}" name="tblMonthlyActuals" displayName="tblMonthlyActuals" ref="A3:M108" tableType="queryTable" totalsRowShown="0">
  <autoFilter ref="A3:M108" xr:uid="{4BDF2404-E0E4-4775-A96C-A953564E95EB}"/>
  <tableColumns count="13">
    <tableColumn id="1" xr3:uid="{ED60118F-6A15-42DE-AD72-E300BEF86E35}" uniqueName="1" name="Year" queryTableFieldId="1"/>
    <tableColumn id="2" xr3:uid="{1E75CDDC-9696-4CAC-92C6-2CD085BB6730}" uniqueName="2" name="Month_Number" queryTableFieldId="2"/>
    <tableColumn id="3" xr3:uid="{A43EDBFB-D2CC-4C8F-BCAE-F9BB9E65775B}" uniqueName="3" name="Month_Name" queryTableFieldId="3" dataDxfId="14"/>
    <tableColumn id="4" xr3:uid="{773F0DC7-B6C0-4C2D-AA27-70C9B7CB5A63}" uniqueName="4" name="Month_Start" queryTableFieldId="4" dataDxfId="13"/>
    <tableColumn id="5" xr3:uid="{4849EDE9-EA3E-480D-9CB6-CAFA9F25842D}" uniqueName="5" name="Year_Month" queryTableFieldId="5"/>
    <tableColumn id="6" xr3:uid="{0D46651D-8B1D-47C2-97F0-002BE392F4AC}" uniqueName="6" name="Year_Month_Sort" queryTableFieldId="6"/>
    <tableColumn id="7" xr3:uid="{B8B4EC04-FAAA-4680-85FA-D21683E7AB5C}" uniqueName="7" name="Product_Category" queryTableFieldId="7" dataDxfId="12"/>
    <tableColumn id="8" xr3:uid="{69088F0D-6133-4966-B1E6-F2A2326C9B4A}" uniqueName="8" name="Units_Sold" queryTableFieldId="8"/>
    <tableColumn id="9" xr3:uid="{004CFF5F-6D79-42B2-A183-BCF9FE778DE8}" uniqueName="9" name="Sales_Revenue" queryTableFieldId="9"/>
    <tableColumn id="10" xr3:uid="{8B71DA53-3D10-4449-84E0-86E6C6028992}" uniqueName="10" name="Total_Cost" queryTableFieldId="10"/>
    <tableColumn id="11" xr3:uid="{64B5A3D5-CA39-4D26-A9FB-AAC7C19A803F}" uniqueName="11" name="Gross_Profit" queryTableFieldId="11"/>
    <tableColumn id="12" xr3:uid="{C37AE635-D7D6-4A12-877E-E2C63AF7B1C6}" uniqueName="12" name="Transaction_Lines" queryTableFieldId="12"/>
    <tableColumn id="13" xr3:uid="{2DFB5BF0-8813-447F-B729-5D80D571E647}" uniqueName="13" name="Profit_Margin" queryTableFieldId="13"/>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BDE363-AC99-4F4F-8006-52F2396571D0}" name="Table1" displayName="Table1" ref="A3:F9" totalsRowShown="0" headerRowDxfId="11" dataDxfId="10">
  <autoFilter ref="A3:F9" xr:uid="{57BDE363-AC99-4F4F-8006-52F2396571D0}"/>
  <tableColumns count="6">
    <tableColumn id="1" xr3:uid="{51958376-D7AF-4377-8D55-5384910AA5DC}" name="Source File" dataDxfId="9"/>
    <tableColumn id="2" xr3:uid="{40A7A5F4-F195-4A45-B07B-0E782277166F}" name="Query" dataDxfId="8"/>
    <tableColumn id="3" xr3:uid="{0FE5ACFB-C3F6-4F81-A403-4DE45720FE62}" name="Record Count" dataDxfId="7" dataCellStyle="Comma"/>
    <tableColumn id="4" xr3:uid="{DB6943DF-9652-4899-8417-58CC13A3A1AD}" name="Purpose" dataDxfId="6"/>
    <tableColumn id="5" xr3:uid="{1804B58A-37FE-45D7-BDE4-8D9DBA26E55D}" name="Load Method" dataDxfId="5"/>
    <tableColumn id="6" xr3:uid="{A81278AF-DFBB-4A04-8991-458E300BC697}" name="Status"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2.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12"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hyperlink" Target="https://mavenanalytics.io/data-playground/mexico-toy-sales" TargetMode="External"/><Relationship Id="rId1" Type="http://schemas.openxmlformats.org/officeDocument/2006/relationships/hyperlink" Target="https://mavenanalytics.io/data-playground/mexico-toy-s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82B5-8EC8-4F90-8231-26963136F754}">
  <dimension ref="A1"/>
  <sheetViews>
    <sheetView workbookViewId="0">
      <selection sqref="A1:M106"/>
    </sheetView>
  </sheetViews>
  <sheetFormatPr defaultRowHeight="14.4" x14ac:dyDescent="0.3"/>
  <cols>
    <col min="1" max="1" width="6.88671875" bestFit="1" customWidth="1"/>
    <col min="2" max="2" width="17" bestFit="1" customWidth="1"/>
    <col min="3" max="3" width="15" bestFit="1" customWidth="1"/>
    <col min="4" max="4" width="14" bestFit="1" customWidth="1"/>
    <col min="5" max="5" width="13.6640625" bestFit="1" customWidth="1"/>
    <col min="6" max="6" width="18.21875" bestFit="1" customWidth="1"/>
    <col min="7" max="7" width="18.5546875" bestFit="1" customWidth="1"/>
    <col min="8" max="8" width="12.21875" bestFit="1" customWidth="1"/>
    <col min="9" max="9" width="15.88671875" bestFit="1" customWidth="1"/>
    <col min="10" max="10" width="12.109375" bestFit="1" customWidth="1"/>
    <col min="11" max="11" width="13.44140625" bestFit="1" customWidth="1"/>
    <col min="12" max="12" width="18.33203125" bestFit="1" customWidth="1"/>
    <col min="13" max="13" width="14.88671875" bestFit="1" customWidth="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A19F-7299-4E88-A46E-AFCEE18114CC}">
  <dimension ref="A1"/>
  <sheetViews>
    <sheetView workbookViewId="0">
      <selection activeCell="J23" sqref="J23"/>
    </sheetView>
  </sheetViews>
  <sheetFormatPr defaultRowHeight="14.4" x14ac:dyDescent="0.3"/>
  <cols>
    <col min="1" max="1" width="10.44140625" bestFit="1" customWidth="1"/>
    <col min="2" max="2" width="12.6640625" bestFit="1" customWidth="1"/>
    <col min="3" max="3" width="16.88671875" bestFit="1" customWidth="1"/>
    <col min="4" max="4" width="14.5546875" bestFit="1" customWidth="1"/>
    <col min="5" max="5" width="15" bestFit="1" customWidth="1"/>
    <col min="6" max="6" width="17.33203125" bestFit="1" customWidth="1"/>
    <col min="7" max="7" width="22.44140625" bestFit="1" customWidth="1"/>
    <col min="8" max="8" width="26" bestFit="1"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E5009-C745-4846-8A22-55E5C2F9D768}">
  <dimension ref="A1"/>
  <sheetViews>
    <sheetView workbookViewId="0">
      <selection activeCell="O16" sqref="O16"/>
    </sheetView>
  </sheetViews>
  <sheetFormatPr defaultRowHeight="14.4" x14ac:dyDescent="0.3"/>
  <cols>
    <col min="1" max="1" width="9.44140625" bestFit="1" customWidth="1"/>
    <col min="2" max="2" width="10.5546875" bestFit="1" customWidth="1"/>
    <col min="3" max="3" width="10.44140625" bestFit="1" customWidth="1"/>
    <col min="4" max="4" width="12.6640625" bestFit="1" customWidth="1"/>
    <col min="5" max="5" width="7.5546875" bestFit="1" customWidth="1"/>
    <col min="6" max="6" width="14.5546875" bestFit="1" customWidth="1"/>
    <col min="7" max="7" width="15" bestFit="1" customWidth="1"/>
    <col min="8" max="8" width="15.88671875" bestFit="1" customWidth="1"/>
    <col min="9" max="9" width="12.109375" bestFit="1" customWidth="1"/>
    <col min="10" max="10" width="13.44140625" bestFit="1" customWidth="1"/>
    <col min="11" max="11" width="14.88671875" bestFit="1" customWidth="1"/>
  </cols>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0E45D-410B-4297-B63A-C14200CAB6DB}">
  <dimension ref="A1"/>
  <sheetViews>
    <sheetView workbookViewId="0">
      <selection activeCell="K18" sqref="K18"/>
    </sheetView>
  </sheetViews>
  <sheetFormatPr defaultRowHeight="14.4" x14ac:dyDescent="0.3"/>
  <cols>
    <col min="1" max="1" width="10.5546875" bestFit="1" customWidth="1"/>
    <col min="2" max="2" width="6.88671875" bestFit="1" customWidth="1"/>
    <col min="3" max="3" width="17" bestFit="1" customWidth="1"/>
    <col min="4" max="4" width="15" bestFit="1" customWidth="1"/>
    <col min="5" max="5" width="17.6640625" bestFit="1" customWidth="1"/>
    <col min="6" max="6" width="14" bestFit="1" customWidth="1"/>
    <col min="7" max="7" width="13.6640625" bestFit="1" customWidth="1"/>
    <col min="8" max="8" width="18.21875" bestFit="1" customWidth="1"/>
  </cols>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9312B-2DF8-4003-8D96-712784C8CBCB}">
  <dimension ref="A1"/>
  <sheetViews>
    <sheetView workbookViewId="0">
      <selection activeCell="I21" sqref="I21"/>
    </sheetView>
  </sheetViews>
  <sheetFormatPr defaultRowHeight="14.4" x14ac:dyDescent="0.3"/>
  <cols>
    <col min="1" max="1" width="10.44140625" bestFit="1" customWidth="1"/>
    <col min="2" max="2" width="27.5546875" bestFit="1" customWidth="1"/>
    <col min="3" max="3" width="15.5546875" bestFit="1" customWidth="1"/>
    <col min="4" max="4" width="16" bestFit="1" customWidth="1"/>
    <col min="5" max="5" width="18.21875" bestFit="1" customWidth="1"/>
    <col min="6" max="6" width="18" bestFit="1" customWidth="1"/>
  </cols>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F7672-9CA0-429C-BE20-73338D842717}">
  <dimension ref="A1"/>
  <sheetViews>
    <sheetView workbookViewId="0">
      <selection sqref="A1:G36"/>
    </sheetView>
  </sheetViews>
  <sheetFormatPr defaultRowHeight="14.4" x14ac:dyDescent="0.3"/>
  <cols>
    <col min="1" max="1" width="12.6640625" bestFit="1" customWidth="1"/>
    <col min="2" max="2" width="20.44140625" bestFit="1" customWidth="1"/>
    <col min="3" max="3" width="18.5546875" bestFit="1" customWidth="1"/>
    <col min="4" max="4" width="14.5546875" bestFit="1" customWidth="1"/>
    <col min="5" max="5" width="15" bestFit="1" customWidth="1"/>
    <col min="6" max="6" width="12.44140625" bestFit="1" customWidth="1"/>
    <col min="7" max="7" width="13.77734375" bestFit="1" customWidth="1"/>
  </cols>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showGridLines="0" topLeftCell="A18" workbookViewId="0">
      <selection activeCell="A23" sqref="A23:H23"/>
    </sheetView>
  </sheetViews>
  <sheetFormatPr defaultRowHeight="14.4" x14ac:dyDescent="0.3"/>
  <cols>
    <col min="1" max="8" width="12.77734375" customWidth="1"/>
  </cols>
  <sheetData>
    <row r="1" spans="1:8" x14ac:dyDescent="0.3">
      <c r="A1" s="48" t="s">
        <v>273</v>
      </c>
      <c r="B1" s="48"/>
      <c r="C1" s="48"/>
      <c r="D1" s="48"/>
      <c r="E1" s="48"/>
      <c r="F1" s="48"/>
      <c r="G1" s="48"/>
      <c r="H1" s="48"/>
    </row>
    <row r="2" spans="1:8" x14ac:dyDescent="0.3">
      <c r="A2" s="48"/>
      <c r="B2" s="48"/>
      <c r="C2" s="48"/>
      <c r="D2" s="48"/>
      <c r="E2" s="48"/>
      <c r="F2" s="48"/>
      <c r="G2" s="48"/>
      <c r="H2" s="48"/>
    </row>
    <row r="4" spans="1:8" ht="15.6" x14ac:dyDescent="0.3">
      <c r="A4" s="50" t="s">
        <v>274</v>
      </c>
      <c r="B4" s="49"/>
      <c r="C4" s="49"/>
      <c r="D4" s="49"/>
      <c r="E4" s="49"/>
      <c r="F4" s="49"/>
      <c r="G4" s="49"/>
      <c r="H4" s="49"/>
    </row>
    <row r="5" spans="1:8" x14ac:dyDescent="0.3">
      <c r="A5" s="51" t="s">
        <v>275</v>
      </c>
      <c r="B5" s="51"/>
      <c r="C5" s="51"/>
      <c r="D5" s="51"/>
      <c r="E5" s="51"/>
      <c r="F5" s="51"/>
      <c r="G5" s="51"/>
      <c r="H5" s="51"/>
    </row>
    <row r="6" spans="1:8" x14ac:dyDescent="0.3">
      <c r="A6" s="51"/>
      <c r="B6" s="51"/>
      <c r="C6" s="51"/>
      <c r="D6" s="51"/>
      <c r="E6" s="51"/>
      <c r="F6" s="51"/>
      <c r="G6" s="51"/>
      <c r="H6" s="51"/>
    </row>
    <row r="7" spans="1:8" x14ac:dyDescent="0.3">
      <c r="A7" s="51"/>
      <c r="B7" s="51"/>
      <c r="C7" s="51"/>
      <c r="D7" s="51"/>
      <c r="E7" s="51"/>
      <c r="F7" s="51"/>
      <c r="G7" s="51"/>
      <c r="H7" s="51"/>
    </row>
    <row r="8" spans="1:8" x14ac:dyDescent="0.3">
      <c r="A8" s="51"/>
      <c r="B8" s="51"/>
      <c r="C8" s="51"/>
      <c r="D8" s="51"/>
      <c r="E8" s="51"/>
      <c r="F8" s="51"/>
      <c r="G8" s="51"/>
      <c r="H8" s="51"/>
    </row>
    <row r="10" spans="1:8" ht="25.8" x14ac:dyDescent="0.3">
      <c r="A10" s="48" t="s">
        <v>276</v>
      </c>
      <c r="B10" s="48"/>
      <c r="C10" s="48"/>
      <c r="D10" s="48"/>
      <c r="E10" s="48"/>
      <c r="F10" s="48"/>
      <c r="G10" s="48"/>
      <c r="H10" s="48"/>
    </row>
    <row r="11" spans="1:8" ht="34.950000000000003" customHeight="1" x14ac:dyDescent="0.3">
      <c r="A11" s="51" t="s">
        <v>277</v>
      </c>
      <c r="B11" s="51"/>
      <c r="C11" s="51"/>
      <c r="D11" s="51"/>
      <c r="E11" s="51"/>
      <c r="F11" s="51"/>
      <c r="G11" s="51"/>
      <c r="H11" s="51"/>
    </row>
    <row r="12" spans="1:8" ht="34.950000000000003" customHeight="1" x14ac:dyDescent="0.3">
      <c r="A12" s="51" t="s">
        <v>278</v>
      </c>
      <c r="B12" s="51"/>
      <c r="C12" s="51"/>
      <c r="D12" s="51"/>
      <c r="E12" s="51"/>
      <c r="F12" s="51"/>
      <c r="G12" s="51"/>
      <c r="H12" s="51"/>
    </row>
    <row r="13" spans="1:8" ht="34.950000000000003" customHeight="1" x14ac:dyDescent="0.3">
      <c r="A13" s="51" t="s">
        <v>279</v>
      </c>
      <c r="B13" s="51"/>
      <c r="C13" s="51"/>
      <c r="D13" s="51"/>
      <c r="E13" s="51"/>
      <c r="F13" s="51"/>
      <c r="G13" s="51"/>
      <c r="H13" s="51"/>
    </row>
    <row r="14" spans="1:8" ht="34.950000000000003" customHeight="1" x14ac:dyDescent="0.3">
      <c r="A14" s="51" t="s">
        <v>280</v>
      </c>
      <c r="B14" s="51"/>
      <c r="C14" s="51"/>
      <c r="D14" s="51"/>
      <c r="E14" s="51"/>
      <c r="F14" s="51"/>
      <c r="G14" s="51"/>
      <c r="H14" s="51"/>
    </row>
    <row r="15" spans="1:8" ht="34.950000000000003" customHeight="1" x14ac:dyDescent="0.3">
      <c r="A15" s="51" t="s">
        <v>281</v>
      </c>
      <c r="B15" s="51"/>
      <c r="C15" s="51"/>
      <c r="D15" s="51"/>
      <c r="E15" s="51"/>
      <c r="F15" s="51"/>
      <c r="G15" s="51"/>
      <c r="H15" s="51"/>
    </row>
    <row r="16" spans="1:8" ht="34.950000000000003" customHeight="1" x14ac:dyDescent="0.3">
      <c r="A16" s="51" t="s">
        <v>282</v>
      </c>
      <c r="B16" s="51"/>
      <c r="C16" s="51"/>
      <c r="D16" s="51"/>
      <c r="E16" s="51"/>
      <c r="F16" s="51"/>
      <c r="G16" s="51"/>
      <c r="H16" s="51"/>
    </row>
    <row r="18" spans="1:8" ht="25.8" x14ac:dyDescent="0.3">
      <c r="A18" s="48" t="s">
        <v>283</v>
      </c>
      <c r="B18" s="48"/>
      <c r="C18" s="48"/>
      <c r="D18" s="48"/>
      <c r="E18" s="48"/>
      <c r="F18" s="48"/>
      <c r="G18" s="48"/>
      <c r="H18" s="48"/>
    </row>
    <row r="19" spans="1:8" ht="30" customHeight="1" x14ac:dyDescent="0.3">
      <c r="A19" s="52" t="s">
        <v>284</v>
      </c>
      <c r="B19" s="52"/>
      <c r="C19" s="52"/>
      <c r="D19" s="52"/>
      <c r="E19" s="52"/>
      <c r="F19" s="52"/>
      <c r="G19" s="52"/>
      <c r="H19" s="52"/>
    </row>
    <row r="20" spans="1:8" ht="30" customHeight="1" x14ac:dyDescent="0.3">
      <c r="A20" s="52" t="s">
        <v>285</v>
      </c>
      <c r="B20" s="52"/>
      <c r="C20" s="52"/>
      <c r="D20" s="52"/>
      <c r="E20" s="52"/>
      <c r="F20" s="52"/>
      <c r="G20" s="52"/>
      <c r="H20" s="52"/>
    </row>
    <row r="21" spans="1:8" ht="30" customHeight="1" x14ac:dyDescent="0.3">
      <c r="A21" s="52" t="s">
        <v>286</v>
      </c>
      <c r="B21" s="52"/>
      <c r="C21" s="52"/>
      <c r="D21" s="52"/>
      <c r="E21" s="52"/>
      <c r="F21" s="52"/>
      <c r="G21" s="52"/>
      <c r="H21" s="52"/>
    </row>
    <row r="22" spans="1:8" ht="30" customHeight="1" x14ac:dyDescent="0.3">
      <c r="A22" s="52" t="s">
        <v>287</v>
      </c>
      <c r="B22" s="52"/>
      <c r="C22" s="52"/>
      <c r="D22" s="52"/>
      <c r="E22" s="52"/>
      <c r="F22" s="52"/>
      <c r="G22" s="52"/>
      <c r="H22" s="52"/>
    </row>
    <row r="23" spans="1:8" ht="30" customHeight="1" x14ac:dyDescent="0.3">
      <c r="A23" s="52" t="s">
        <v>288</v>
      </c>
      <c r="B23" s="52"/>
      <c r="C23" s="52"/>
      <c r="D23" s="52"/>
      <c r="E23" s="52"/>
      <c r="F23" s="52"/>
      <c r="G23" s="52"/>
      <c r="H23" s="52"/>
    </row>
    <row r="24" spans="1:8" ht="30" customHeight="1" x14ac:dyDescent="0.3">
      <c r="A24" s="52" t="s">
        <v>289</v>
      </c>
      <c r="B24" s="52"/>
      <c r="C24" s="52"/>
      <c r="D24" s="52"/>
      <c r="E24" s="52"/>
      <c r="F24" s="52"/>
      <c r="G24" s="52"/>
      <c r="H24" s="52"/>
    </row>
    <row r="25" spans="1:8" ht="30" customHeight="1" x14ac:dyDescent="0.3">
      <c r="A25" s="52" t="s">
        <v>290</v>
      </c>
      <c r="B25" s="52"/>
      <c r="C25" s="52"/>
      <c r="D25" s="52"/>
      <c r="E25" s="52"/>
      <c r="F25" s="52"/>
      <c r="G25" s="52"/>
      <c r="H25" s="52"/>
    </row>
    <row r="27" spans="1:8" ht="25.8" x14ac:dyDescent="0.3">
      <c r="A27" s="48" t="s">
        <v>291</v>
      </c>
      <c r="B27" s="48"/>
      <c r="C27" s="48"/>
      <c r="D27" s="48"/>
      <c r="E27" s="48"/>
      <c r="F27" s="48"/>
      <c r="G27" s="48"/>
      <c r="H27" s="48"/>
    </row>
    <row r="28" spans="1:8" x14ac:dyDescent="0.3">
      <c r="A28" s="51" t="s">
        <v>292</v>
      </c>
      <c r="B28" s="51"/>
      <c r="C28" s="51"/>
      <c r="D28" s="51"/>
      <c r="E28" s="51"/>
      <c r="F28" s="51"/>
      <c r="G28" s="51"/>
      <c r="H28" s="51"/>
    </row>
    <row r="29" spans="1:8" x14ac:dyDescent="0.3">
      <c r="A29" s="51"/>
      <c r="B29" s="51"/>
      <c r="C29" s="51"/>
      <c r="D29" s="51"/>
      <c r="E29" s="51"/>
      <c r="F29" s="51"/>
      <c r="G29" s="51"/>
      <c r="H29" s="51"/>
    </row>
    <row r="30" spans="1:8" x14ac:dyDescent="0.3">
      <c r="A30" s="51"/>
      <c r="B30" s="51"/>
      <c r="C30" s="51"/>
      <c r="D30" s="51"/>
      <c r="E30" s="51"/>
      <c r="F30" s="51"/>
      <c r="G30" s="51"/>
      <c r="H30" s="51"/>
    </row>
    <row r="31" spans="1:8" x14ac:dyDescent="0.3">
      <c r="A31" s="51"/>
      <c r="B31" s="51"/>
      <c r="C31" s="51"/>
      <c r="D31" s="51"/>
      <c r="E31" s="51"/>
      <c r="F31" s="51"/>
      <c r="G31" s="51"/>
      <c r="H31" s="51"/>
    </row>
    <row r="33" spans="1:8" x14ac:dyDescent="0.3">
      <c r="A33" s="51" t="s">
        <v>293</v>
      </c>
      <c r="B33" s="51"/>
      <c r="C33" s="51"/>
      <c r="D33" s="51"/>
      <c r="E33" s="51"/>
      <c r="F33" s="51"/>
      <c r="G33" s="51"/>
      <c r="H33" s="51"/>
    </row>
    <row r="34" spans="1:8" x14ac:dyDescent="0.3">
      <c r="A34" s="51"/>
      <c r="B34" s="51"/>
      <c r="C34" s="51"/>
      <c r="D34" s="51"/>
      <c r="E34" s="51"/>
      <c r="F34" s="51"/>
      <c r="G34" s="51"/>
      <c r="H34" s="51"/>
    </row>
    <row r="35" spans="1:8" x14ac:dyDescent="0.3">
      <c r="A35" s="51"/>
      <c r="B35" s="51"/>
      <c r="C35" s="51"/>
      <c r="D35" s="51"/>
      <c r="E35" s="51"/>
      <c r="F35" s="51"/>
      <c r="G35" s="51"/>
      <c r="H35" s="51"/>
    </row>
    <row r="36" spans="1:8" x14ac:dyDescent="0.3">
      <c r="A36" s="51"/>
      <c r="B36" s="51"/>
      <c r="C36" s="51"/>
      <c r="D36" s="51"/>
      <c r="E36" s="51"/>
      <c r="F36" s="51"/>
      <c r="G36" s="51"/>
      <c r="H36" s="51"/>
    </row>
    <row r="38" spans="1:8" ht="25.8" x14ac:dyDescent="0.3">
      <c r="A38" s="48" t="s">
        <v>294</v>
      </c>
      <c r="B38" s="48"/>
      <c r="C38" s="48"/>
      <c r="D38" s="48"/>
      <c r="E38" s="48"/>
      <c r="F38" s="48"/>
      <c r="G38" s="48"/>
      <c r="H38" s="48"/>
    </row>
    <row r="39" spans="1:8" x14ac:dyDescent="0.3">
      <c r="A39" s="51" t="s">
        <v>295</v>
      </c>
      <c r="B39" s="51"/>
      <c r="C39" s="51"/>
      <c r="D39" s="51"/>
      <c r="E39" s="51"/>
      <c r="F39" s="51"/>
      <c r="G39" s="51"/>
      <c r="H39" s="51"/>
    </row>
    <row r="40" spans="1:8" x14ac:dyDescent="0.3">
      <c r="A40" s="51"/>
      <c r="B40" s="51"/>
      <c r="C40" s="51"/>
      <c r="D40" s="51"/>
      <c r="E40" s="51"/>
      <c r="F40" s="51"/>
      <c r="G40" s="51"/>
      <c r="H40" s="51"/>
    </row>
    <row r="41" spans="1:8" x14ac:dyDescent="0.3">
      <c r="A41" s="51"/>
      <c r="B41" s="51"/>
      <c r="C41" s="51"/>
      <c r="D41" s="51"/>
      <c r="E41" s="51"/>
      <c r="F41" s="51"/>
      <c r="G41" s="51"/>
      <c r="H41" s="51"/>
    </row>
    <row r="42" spans="1:8" x14ac:dyDescent="0.3">
      <c r="A42" s="51"/>
      <c r="B42" s="51"/>
      <c r="C42" s="51"/>
      <c r="D42" s="51"/>
      <c r="E42" s="51"/>
      <c r="F42" s="51"/>
      <c r="G42" s="51"/>
      <c r="H42" s="51"/>
    </row>
    <row r="43" spans="1:8" x14ac:dyDescent="0.3">
      <c r="A43" s="51"/>
      <c r="B43" s="51"/>
      <c r="C43" s="51"/>
      <c r="D43" s="51"/>
      <c r="E43" s="51"/>
      <c r="F43" s="51"/>
      <c r="G43" s="51"/>
      <c r="H43" s="51"/>
    </row>
  </sheetData>
  <mergeCells count="23">
    <mergeCell ref="A25:H25"/>
    <mergeCell ref="A27:H27"/>
    <mergeCell ref="A28:H31"/>
    <mergeCell ref="A33:H36"/>
    <mergeCell ref="A38:H38"/>
    <mergeCell ref="A39:H43"/>
    <mergeCell ref="A19:H19"/>
    <mergeCell ref="A20:H20"/>
    <mergeCell ref="A21:H21"/>
    <mergeCell ref="A22:H22"/>
    <mergeCell ref="A23:H23"/>
    <mergeCell ref="A24:H24"/>
    <mergeCell ref="A12:H12"/>
    <mergeCell ref="A13:H13"/>
    <mergeCell ref="A14:H14"/>
    <mergeCell ref="A15:H15"/>
    <mergeCell ref="A16:H16"/>
    <mergeCell ref="A18:H18"/>
    <mergeCell ref="A1:H2"/>
    <mergeCell ref="A4:H4"/>
    <mergeCell ref="A5:H8"/>
    <mergeCell ref="A10:H10"/>
    <mergeCell ref="A11:H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D4B12-281C-46CB-A39F-87F0E1C49A44}">
  <dimension ref="A1:N80"/>
  <sheetViews>
    <sheetView showGridLines="0" topLeftCell="A38" zoomScaleNormal="100" workbookViewId="0">
      <selection activeCell="A4" sqref="A4"/>
    </sheetView>
  </sheetViews>
  <sheetFormatPr defaultRowHeight="14.4" x14ac:dyDescent="0.3"/>
  <cols>
    <col min="1" max="14" width="12.77734375" customWidth="1"/>
  </cols>
  <sheetData>
    <row r="1" spans="1:14" x14ac:dyDescent="0.3">
      <c r="A1" s="32" t="s">
        <v>260</v>
      </c>
      <c r="B1" s="31"/>
      <c r="C1" s="31"/>
      <c r="D1" s="31"/>
      <c r="E1" s="31"/>
      <c r="F1" s="31"/>
      <c r="G1" s="31"/>
      <c r="H1" s="31"/>
      <c r="I1" s="31"/>
      <c r="J1" s="31"/>
      <c r="K1" s="31"/>
      <c r="L1" s="31"/>
      <c r="M1" s="31"/>
      <c r="N1" s="31"/>
    </row>
    <row r="2" spans="1:14" x14ac:dyDescent="0.3">
      <c r="A2" s="31"/>
      <c r="B2" s="31"/>
      <c r="C2" s="31"/>
      <c r="D2" s="31"/>
      <c r="E2" s="31"/>
      <c r="F2" s="31"/>
      <c r="G2" s="31"/>
      <c r="H2" s="31"/>
      <c r="I2" s="31"/>
      <c r="J2" s="31"/>
      <c r="K2" s="31"/>
      <c r="L2" s="31"/>
      <c r="M2" s="31"/>
      <c r="N2" s="31"/>
    </row>
    <row r="3" spans="1:14" x14ac:dyDescent="0.3">
      <c r="A3" s="33" t="s">
        <v>261</v>
      </c>
      <c r="B3" s="34"/>
      <c r="C3" s="34"/>
      <c r="D3" s="34"/>
      <c r="E3" s="34"/>
      <c r="F3" s="34"/>
      <c r="G3" s="34"/>
      <c r="H3" s="34"/>
      <c r="I3" s="34"/>
      <c r="J3" s="34"/>
      <c r="K3" s="34"/>
      <c r="L3" s="34"/>
      <c r="M3" s="34"/>
      <c r="N3" s="34"/>
    </row>
    <row r="4" spans="1:14" x14ac:dyDescent="0.3">
      <c r="A4" s="29" t="s">
        <v>262</v>
      </c>
      <c r="B4" s="29"/>
      <c r="C4" s="30" t="str">
        <f>Assumptions!$B$3</f>
        <v>Best Case</v>
      </c>
      <c r="D4" s="30"/>
      <c r="E4" s="30"/>
      <c r="F4" s="30"/>
      <c r="G4" s="29"/>
      <c r="H4" s="29"/>
      <c r="I4" s="29"/>
      <c r="J4" s="29"/>
      <c r="K4" s="29"/>
      <c r="L4" s="29"/>
      <c r="M4" s="29"/>
      <c r="N4" s="29"/>
    </row>
    <row r="5" spans="1:14" x14ac:dyDescent="0.3">
      <c r="A5" s="29"/>
      <c r="B5" s="29"/>
      <c r="C5" s="29"/>
      <c r="D5" s="29"/>
      <c r="E5" s="29"/>
      <c r="F5" s="29"/>
      <c r="G5" s="29"/>
      <c r="H5" s="29"/>
      <c r="I5" s="29"/>
      <c r="J5" s="29"/>
      <c r="K5" s="29"/>
      <c r="L5" s="29"/>
      <c r="M5" s="29"/>
      <c r="N5" s="29"/>
    </row>
    <row r="6" spans="1:14" x14ac:dyDescent="0.3">
      <c r="A6" s="29"/>
      <c r="B6" s="29"/>
      <c r="C6" s="29"/>
      <c r="D6" s="29"/>
      <c r="E6" s="29"/>
      <c r="F6" s="29"/>
      <c r="G6" s="29"/>
      <c r="H6" s="29"/>
      <c r="I6" s="29"/>
      <c r="J6" s="29"/>
      <c r="K6" s="29"/>
      <c r="L6" s="29"/>
      <c r="M6" s="29"/>
      <c r="N6" s="29"/>
    </row>
    <row r="7" spans="1:14" x14ac:dyDescent="0.3">
      <c r="A7" s="29"/>
      <c r="B7" s="29"/>
      <c r="C7" s="29"/>
      <c r="D7" s="29"/>
      <c r="E7" s="29"/>
      <c r="F7" s="29"/>
      <c r="G7" s="29"/>
      <c r="H7" s="29"/>
      <c r="I7" s="29"/>
      <c r="J7" s="29"/>
      <c r="K7" s="29"/>
      <c r="L7" s="29"/>
      <c r="M7" s="29"/>
      <c r="N7" s="29"/>
    </row>
    <row r="8" spans="1:14" x14ac:dyDescent="0.3">
      <c r="A8" s="29"/>
      <c r="B8" s="29"/>
      <c r="C8" s="29"/>
      <c r="D8" s="29"/>
      <c r="E8" s="29"/>
      <c r="F8" s="29"/>
      <c r="G8" s="29"/>
      <c r="H8" s="29"/>
      <c r="I8" s="29"/>
      <c r="J8" s="29"/>
      <c r="K8" s="29"/>
      <c r="L8" s="29"/>
      <c r="M8" s="29"/>
      <c r="N8" s="29"/>
    </row>
    <row r="9" spans="1:14" x14ac:dyDescent="0.3">
      <c r="A9" s="29"/>
      <c r="B9" s="29"/>
      <c r="C9" s="29"/>
      <c r="D9" s="29"/>
      <c r="E9" s="29"/>
      <c r="F9" s="29"/>
      <c r="G9" s="29"/>
      <c r="H9" s="29"/>
      <c r="I9" s="29"/>
      <c r="J9" s="29"/>
      <c r="K9" s="29"/>
      <c r="L9" s="29"/>
      <c r="M9" s="29"/>
      <c r="N9" s="29"/>
    </row>
    <row r="10" spans="1:14" x14ac:dyDescent="0.3">
      <c r="A10" s="29"/>
      <c r="B10" s="29"/>
      <c r="C10" s="29"/>
      <c r="D10" s="29"/>
      <c r="E10" s="29"/>
      <c r="F10" s="29"/>
      <c r="G10" s="29"/>
      <c r="H10" s="29"/>
      <c r="I10" s="29"/>
      <c r="J10" s="29"/>
      <c r="K10" s="29"/>
      <c r="L10" s="29"/>
      <c r="M10" s="29"/>
      <c r="N10" s="29"/>
    </row>
    <row r="11" spans="1:14" x14ac:dyDescent="0.3">
      <c r="A11" s="29"/>
      <c r="B11" s="29"/>
      <c r="C11" s="29"/>
      <c r="D11" s="29"/>
      <c r="E11" s="29"/>
      <c r="F11" s="29"/>
      <c r="G11" s="29"/>
      <c r="H11" s="29"/>
      <c r="I11" s="29"/>
      <c r="J11" s="29"/>
      <c r="K11" s="29"/>
      <c r="L11" s="29"/>
      <c r="M11" s="29"/>
      <c r="N11" s="29"/>
    </row>
    <row r="12" spans="1:14" x14ac:dyDescent="0.3">
      <c r="A12" s="35" t="s">
        <v>263</v>
      </c>
      <c r="B12" s="36"/>
      <c r="C12" s="36"/>
      <c r="D12" s="35" t="s">
        <v>264</v>
      </c>
      <c r="E12" s="36"/>
      <c r="F12" s="36"/>
      <c r="G12" s="35" t="s">
        <v>265</v>
      </c>
      <c r="H12" s="36"/>
      <c r="I12" s="36"/>
      <c r="J12" s="35" t="s">
        <v>266</v>
      </c>
      <c r="K12" s="35"/>
      <c r="L12" s="35"/>
      <c r="M12" s="35" t="s">
        <v>137</v>
      </c>
      <c r="N12" s="35"/>
    </row>
    <row r="13" spans="1:14" ht="14.4" customHeight="1" x14ac:dyDescent="0.3">
      <c r="A13" s="44">
        <f>GETPIVOTDATA("[Measures].[Total Sales]",Analysis!$P$3)</f>
        <v>14444572.35</v>
      </c>
      <c r="B13" s="44"/>
      <c r="C13" s="44"/>
      <c r="D13" s="45">
        <f>Budget!O2</f>
        <v>5745725.1179999961</v>
      </c>
      <c r="E13" s="45"/>
      <c r="F13" s="45"/>
      <c r="G13" s="44">
        <f>Budget!N5</f>
        <v>1216349.1519998312</v>
      </c>
      <c r="H13" s="44"/>
      <c r="I13" s="44"/>
      <c r="J13" s="43">
        <f>GETPIVOTDATA("[Measures].[Gross Profit]",Analysis!$P$3)</f>
        <v>4014029</v>
      </c>
      <c r="K13" s="43"/>
      <c r="L13" s="43"/>
      <c r="M13" s="46">
        <f>GETPIVOTDATA("[Measures].[Profit Margin]",Analysis!$P$3)</f>
        <v>0.27789185465224242</v>
      </c>
      <c r="N13" s="46"/>
    </row>
    <row r="14" spans="1:14" ht="14.4" customHeight="1" x14ac:dyDescent="0.3">
      <c r="A14" s="44"/>
      <c r="B14" s="44"/>
      <c r="C14" s="44"/>
      <c r="D14" s="45"/>
      <c r="E14" s="45"/>
      <c r="F14" s="45"/>
      <c r="G14" s="44"/>
      <c r="H14" s="44"/>
      <c r="I14" s="44"/>
      <c r="J14" s="43"/>
      <c r="K14" s="43"/>
      <c r="L14" s="43"/>
      <c r="M14" s="46"/>
      <c r="N14" s="46"/>
    </row>
    <row r="15" spans="1:14" ht="14.4" customHeight="1" x14ac:dyDescent="0.3">
      <c r="A15" s="44"/>
      <c r="B15" s="44"/>
      <c r="C15" s="44"/>
      <c r="D15" s="45"/>
      <c r="E15" s="45"/>
      <c r="F15" s="45"/>
      <c r="G15" s="44"/>
      <c r="H15" s="44"/>
      <c r="I15" s="44"/>
      <c r="J15" s="43"/>
      <c r="K15" s="43"/>
      <c r="L15" s="43"/>
      <c r="M15" s="46"/>
      <c r="N15" s="46"/>
    </row>
    <row r="16" spans="1:14" x14ac:dyDescent="0.3">
      <c r="A16" s="29"/>
      <c r="B16" s="29"/>
      <c r="C16" s="29"/>
      <c r="D16" s="29"/>
      <c r="E16" s="29"/>
      <c r="F16" s="29"/>
      <c r="G16" s="29"/>
      <c r="H16" s="29"/>
      <c r="I16" s="29"/>
      <c r="J16" s="29"/>
      <c r="K16" s="29"/>
      <c r="L16" s="29"/>
      <c r="M16" s="29"/>
      <c r="N16" s="29"/>
    </row>
    <row r="17" spans="1:14" x14ac:dyDescent="0.3">
      <c r="A17" s="35" t="s">
        <v>269</v>
      </c>
      <c r="B17" s="35"/>
      <c r="C17" s="35"/>
      <c r="D17" s="35" t="s">
        <v>270</v>
      </c>
      <c r="E17" s="35"/>
      <c r="F17" s="35"/>
      <c r="G17" s="35"/>
      <c r="H17" s="35" t="s">
        <v>271</v>
      </c>
      <c r="I17" s="35"/>
      <c r="J17" s="35"/>
      <c r="K17" s="35"/>
      <c r="L17" s="35" t="s">
        <v>253</v>
      </c>
      <c r="M17" s="35"/>
      <c r="N17" s="35"/>
    </row>
    <row r="18" spans="1:14" ht="14.4" customHeight="1" x14ac:dyDescent="0.3">
      <c r="A18" s="42">
        <f>GETPIVOTDATA("[Measures].[Total Cost]",Analysis!$P$3)</f>
        <v>10430543.35</v>
      </c>
      <c r="B18" s="42"/>
      <c r="C18" s="42"/>
      <c r="D18" s="44">
        <f>Forecast!A4</f>
        <v>2421868.097599973</v>
      </c>
      <c r="E18" s="44"/>
      <c r="F18" s="44"/>
      <c r="G18" s="44"/>
      <c r="H18" s="43">
        <f>Forecast!E4</f>
        <v>709179.88097597647</v>
      </c>
      <c r="I18" s="43"/>
      <c r="J18" s="43"/>
      <c r="K18" s="43"/>
      <c r="L18" s="42">
        <f>GETPIVOTDATA("[Measures].[Inventory Value]",Analysis!$K$60)</f>
        <v>300209.58</v>
      </c>
      <c r="M18" s="42"/>
      <c r="N18" s="42"/>
    </row>
    <row r="19" spans="1:14" ht="14.4" customHeight="1" x14ac:dyDescent="0.3">
      <c r="A19" s="42"/>
      <c r="B19" s="42"/>
      <c r="C19" s="42"/>
      <c r="D19" s="44"/>
      <c r="E19" s="44"/>
      <c r="F19" s="44"/>
      <c r="G19" s="44"/>
      <c r="H19" s="43"/>
      <c r="I19" s="43"/>
      <c r="J19" s="43"/>
      <c r="K19" s="43"/>
      <c r="L19" s="42"/>
      <c r="M19" s="42"/>
      <c r="N19" s="42"/>
    </row>
    <row r="20" spans="1:14" ht="14.4" customHeight="1" x14ac:dyDescent="0.3">
      <c r="A20" s="42"/>
      <c r="B20" s="42"/>
      <c r="C20" s="42"/>
      <c r="D20" s="44"/>
      <c r="E20" s="44"/>
      <c r="F20" s="44"/>
      <c r="G20" s="44"/>
      <c r="H20" s="43"/>
      <c r="I20" s="43"/>
      <c r="J20" s="43"/>
      <c r="K20" s="43"/>
      <c r="L20" s="42"/>
      <c r="M20" s="42"/>
      <c r="N20" s="42"/>
    </row>
    <row r="21" spans="1:14" x14ac:dyDescent="0.3">
      <c r="A21" s="29"/>
      <c r="B21" s="29"/>
      <c r="C21" s="29"/>
      <c r="D21" s="29"/>
      <c r="E21" s="29"/>
      <c r="F21" s="29"/>
      <c r="G21" s="29"/>
      <c r="H21" s="29"/>
      <c r="I21" s="29"/>
      <c r="J21" s="29"/>
      <c r="K21" s="29"/>
      <c r="L21" s="29"/>
      <c r="M21" s="29"/>
      <c r="N21" s="29"/>
    </row>
    <row r="22" spans="1:14" x14ac:dyDescent="0.3">
      <c r="A22" s="29"/>
      <c r="B22" s="29"/>
      <c r="C22" s="29"/>
      <c r="D22" s="29"/>
      <c r="E22" s="29"/>
      <c r="F22" s="29"/>
      <c r="G22" s="29"/>
      <c r="H22" s="29"/>
      <c r="I22" s="29"/>
      <c r="J22" s="29"/>
      <c r="K22" s="29"/>
      <c r="L22" s="29"/>
      <c r="M22" s="29"/>
      <c r="N22" s="29"/>
    </row>
    <row r="23" spans="1:14" x14ac:dyDescent="0.3">
      <c r="A23" s="29"/>
      <c r="B23" s="29"/>
      <c r="C23" s="29"/>
      <c r="D23" s="29"/>
      <c r="E23" s="29"/>
      <c r="F23" s="29"/>
      <c r="G23" s="29"/>
      <c r="H23" s="29"/>
      <c r="I23" s="29"/>
      <c r="J23" s="29"/>
      <c r="K23" s="29"/>
      <c r="L23" s="29"/>
      <c r="M23" s="29"/>
      <c r="N23" s="29"/>
    </row>
    <row r="24" spans="1:14" x14ac:dyDescent="0.3">
      <c r="A24" s="29"/>
      <c r="B24" s="29"/>
      <c r="C24" s="29"/>
      <c r="D24" s="29"/>
      <c r="E24" s="29"/>
      <c r="F24" s="29"/>
      <c r="G24" s="29"/>
      <c r="H24" s="29"/>
      <c r="I24" s="29"/>
      <c r="J24" s="29"/>
      <c r="K24" s="29"/>
      <c r="L24" s="29"/>
      <c r="M24" s="29"/>
      <c r="N24" s="29"/>
    </row>
    <row r="25" spans="1:14" x14ac:dyDescent="0.3">
      <c r="A25" s="29"/>
      <c r="B25" s="29"/>
      <c r="C25" s="29"/>
      <c r="D25" s="29"/>
      <c r="E25" s="29"/>
      <c r="F25" s="29"/>
      <c r="G25" s="29"/>
      <c r="H25" s="29"/>
      <c r="I25" s="29"/>
      <c r="J25" s="29"/>
      <c r="K25" s="29"/>
      <c r="L25" s="29"/>
      <c r="M25" s="29"/>
      <c r="N25" s="29"/>
    </row>
    <row r="26" spans="1:14" x14ac:dyDescent="0.3">
      <c r="A26" s="29"/>
      <c r="B26" s="29"/>
      <c r="C26" s="29"/>
      <c r="D26" s="29"/>
      <c r="E26" s="29"/>
      <c r="F26" s="29"/>
      <c r="G26" s="29"/>
      <c r="H26" s="29"/>
      <c r="I26" s="29"/>
      <c r="J26" s="29"/>
      <c r="K26" s="29"/>
      <c r="L26" s="29"/>
      <c r="M26" s="29"/>
      <c r="N26" s="29"/>
    </row>
    <row r="27" spans="1:14" x14ac:dyDescent="0.3">
      <c r="A27" s="29"/>
      <c r="B27" s="29"/>
      <c r="C27" s="29"/>
      <c r="D27" s="29"/>
      <c r="E27" s="29"/>
      <c r="F27" s="29"/>
      <c r="G27" s="29"/>
      <c r="H27" s="29"/>
      <c r="I27" s="29"/>
      <c r="J27" s="29"/>
      <c r="K27" s="29"/>
      <c r="L27" s="29"/>
      <c r="M27" s="29"/>
      <c r="N27" s="29"/>
    </row>
    <row r="28" spans="1:14" x14ac:dyDescent="0.3">
      <c r="A28" s="29"/>
      <c r="B28" s="29"/>
      <c r="C28" s="29"/>
      <c r="D28" s="29"/>
      <c r="E28" s="29"/>
      <c r="F28" s="29"/>
      <c r="G28" s="29"/>
      <c r="H28" s="29"/>
      <c r="I28" s="29"/>
      <c r="J28" s="29"/>
      <c r="K28" s="29"/>
      <c r="L28" s="29"/>
      <c r="M28" s="29"/>
      <c r="N28" s="29"/>
    </row>
    <row r="29" spans="1:14" x14ac:dyDescent="0.3">
      <c r="A29" s="29"/>
      <c r="B29" s="29"/>
      <c r="C29" s="29"/>
      <c r="D29" s="29"/>
      <c r="E29" s="29"/>
      <c r="F29" s="29"/>
      <c r="G29" s="29"/>
      <c r="H29" s="29"/>
      <c r="I29" s="29"/>
      <c r="J29" s="29"/>
      <c r="K29" s="29"/>
      <c r="L29" s="29"/>
      <c r="M29" s="29"/>
      <c r="N29" s="29"/>
    </row>
    <row r="30" spans="1:14" x14ac:dyDescent="0.3">
      <c r="A30" s="29"/>
      <c r="B30" s="29"/>
      <c r="C30" s="29"/>
      <c r="D30" s="29"/>
      <c r="E30" s="29"/>
      <c r="F30" s="29"/>
      <c r="G30" s="29"/>
      <c r="H30" s="29"/>
      <c r="I30" s="29"/>
      <c r="J30" s="29"/>
      <c r="K30" s="29"/>
      <c r="L30" s="29"/>
      <c r="M30" s="29"/>
      <c r="N30" s="29"/>
    </row>
    <row r="31" spans="1:14" x14ac:dyDescent="0.3">
      <c r="A31" s="29"/>
      <c r="B31" s="29"/>
      <c r="C31" s="29"/>
      <c r="D31" s="29"/>
      <c r="E31" s="29"/>
      <c r="F31" s="29"/>
      <c r="G31" s="29"/>
      <c r="H31" s="29"/>
      <c r="I31" s="29"/>
      <c r="J31" s="29"/>
      <c r="K31" s="29"/>
      <c r="L31" s="29"/>
      <c r="M31" s="29"/>
      <c r="N31" s="29"/>
    </row>
    <row r="32" spans="1:14" x14ac:dyDescent="0.3">
      <c r="A32" s="29"/>
      <c r="B32" s="29"/>
      <c r="C32" s="29"/>
      <c r="D32" s="29"/>
      <c r="E32" s="29"/>
      <c r="F32" s="29"/>
      <c r="G32" s="29"/>
      <c r="H32" s="29"/>
      <c r="I32" s="29"/>
      <c r="J32" s="29"/>
      <c r="K32" s="29"/>
      <c r="L32" s="29"/>
      <c r="M32" s="29"/>
      <c r="N32" s="29"/>
    </row>
    <row r="33" spans="1:14" x14ac:dyDescent="0.3">
      <c r="A33" s="29"/>
      <c r="B33" s="29"/>
      <c r="C33" s="29"/>
      <c r="D33" s="29"/>
      <c r="E33" s="29"/>
      <c r="F33" s="29"/>
      <c r="G33" s="29"/>
      <c r="H33" s="29"/>
      <c r="I33" s="29"/>
      <c r="J33" s="29"/>
      <c r="K33" s="29"/>
      <c r="L33" s="29"/>
      <c r="M33" s="29"/>
      <c r="N33" s="29"/>
    </row>
    <row r="34" spans="1:14" x14ac:dyDescent="0.3">
      <c r="A34" s="29"/>
      <c r="B34" s="29"/>
      <c r="C34" s="29"/>
      <c r="D34" s="29"/>
      <c r="E34" s="29"/>
      <c r="F34" s="29"/>
      <c r="G34" s="29"/>
      <c r="H34" s="29"/>
      <c r="I34" s="29"/>
      <c r="J34" s="29"/>
      <c r="K34" s="29"/>
      <c r="L34" s="29"/>
      <c r="M34" s="29"/>
      <c r="N34" s="29"/>
    </row>
    <row r="35" spans="1:14" x14ac:dyDescent="0.3">
      <c r="A35" s="29"/>
      <c r="B35" s="29"/>
      <c r="C35" s="29"/>
      <c r="D35" s="29"/>
      <c r="E35" s="29"/>
      <c r="F35" s="29"/>
      <c r="G35" s="29"/>
      <c r="H35" s="29"/>
      <c r="I35" s="29"/>
      <c r="J35" s="29"/>
      <c r="K35" s="29"/>
      <c r="L35" s="29"/>
      <c r="M35" s="29"/>
      <c r="N35" s="29"/>
    </row>
    <row r="36" spans="1:14" x14ac:dyDescent="0.3">
      <c r="A36" s="29"/>
      <c r="B36" s="29"/>
      <c r="C36" s="29"/>
      <c r="D36" s="29"/>
      <c r="E36" s="29"/>
      <c r="F36" s="29"/>
      <c r="G36" s="29"/>
      <c r="H36" s="29"/>
      <c r="I36" s="29"/>
      <c r="J36" s="29"/>
      <c r="K36" s="29"/>
      <c r="L36" s="29"/>
      <c r="M36" s="29"/>
      <c r="N36" s="29"/>
    </row>
    <row r="37" spans="1:14" x14ac:dyDescent="0.3">
      <c r="A37" s="29"/>
      <c r="B37" s="29"/>
      <c r="C37" s="29"/>
      <c r="D37" s="29"/>
      <c r="E37" s="29"/>
      <c r="F37" s="29"/>
      <c r="G37" s="29"/>
      <c r="H37" s="29"/>
      <c r="I37" s="29"/>
      <c r="J37" s="29"/>
      <c r="K37" s="29"/>
      <c r="L37" s="29"/>
      <c r="M37" s="29"/>
      <c r="N37" s="29"/>
    </row>
    <row r="38" spans="1:14" x14ac:dyDescent="0.3">
      <c r="A38" s="29"/>
      <c r="B38" s="29"/>
      <c r="C38" s="29"/>
      <c r="D38" s="29"/>
      <c r="E38" s="29"/>
      <c r="F38" s="29"/>
      <c r="G38" s="29"/>
      <c r="H38" s="29"/>
      <c r="I38" s="29"/>
      <c r="J38" s="29"/>
      <c r="K38" s="29"/>
      <c r="L38" s="29"/>
      <c r="M38" s="29"/>
      <c r="N38" s="29"/>
    </row>
    <row r="39" spans="1:14" x14ac:dyDescent="0.3">
      <c r="A39" s="29"/>
      <c r="B39" s="29"/>
      <c r="C39" s="29"/>
      <c r="D39" s="29"/>
      <c r="E39" s="29"/>
      <c r="F39" s="29"/>
      <c r="G39" s="29"/>
      <c r="H39" s="29"/>
      <c r="I39" s="29"/>
      <c r="J39" s="29"/>
      <c r="K39" s="29"/>
      <c r="L39" s="29"/>
      <c r="M39" s="29"/>
      <c r="N39" s="29"/>
    </row>
    <row r="40" spans="1:14" x14ac:dyDescent="0.3">
      <c r="A40" s="29"/>
      <c r="B40" s="29"/>
      <c r="C40" s="29"/>
      <c r="D40" s="29"/>
      <c r="E40" s="29"/>
      <c r="F40" s="29"/>
      <c r="G40" s="29"/>
      <c r="H40" s="29"/>
      <c r="I40" s="29"/>
      <c r="J40" s="29"/>
      <c r="K40" s="29"/>
      <c r="L40" s="29"/>
      <c r="M40" s="29"/>
      <c r="N40" s="29"/>
    </row>
    <row r="41" spans="1:14" x14ac:dyDescent="0.3">
      <c r="A41" s="29"/>
      <c r="B41" s="29"/>
      <c r="C41" s="29"/>
      <c r="D41" s="29"/>
      <c r="E41" s="29"/>
      <c r="F41" s="29"/>
      <c r="G41" s="29"/>
      <c r="H41" s="29"/>
      <c r="I41" s="29"/>
      <c r="J41" s="29"/>
      <c r="K41" s="29"/>
      <c r="L41" s="29"/>
      <c r="M41" s="29"/>
      <c r="N41" s="29"/>
    </row>
    <row r="42" spans="1:14" x14ac:dyDescent="0.3">
      <c r="A42" s="29"/>
      <c r="B42" s="29"/>
      <c r="C42" s="29"/>
      <c r="D42" s="29"/>
      <c r="E42" s="29"/>
      <c r="F42" s="29"/>
      <c r="G42" s="29"/>
      <c r="H42" s="29"/>
      <c r="I42" s="29"/>
      <c r="J42" s="29"/>
      <c r="K42" s="29"/>
      <c r="L42" s="29"/>
      <c r="M42" s="29"/>
      <c r="N42" s="29"/>
    </row>
    <row r="43" spans="1:14" x14ac:dyDescent="0.3">
      <c r="A43" s="29"/>
      <c r="B43" s="29"/>
      <c r="C43" s="29"/>
      <c r="D43" s="29"/>
      <c r="E43" s="29"/>
      <c r="F43" s="29"/>
      <c r="G43" s="29"/>
      <c r="H43" s="29"/>
      <c r="I43" s="29"/>
      <c r="J43" s="29"/>
      <c r="K43" s="29"/>
      <c r="L43" s="29"/>
      <c r="M43" s="29"/>
      <c r="N43" s="29"/>
    </row>
    <row r="44" spans="1:14" x14ac:dyDescent="0.3">
      <c r="A44" s="29"/>
      <c r="B44" s="29"/>
      <c r="C44" s="29"/>
      <c r="D44" s="29"/>
      <c r="E44" s="29"/>
      <c r="F44" s="29"/>
      <c r="G44" s="29"/>
      <c r="H44" s="29"/>
      <c r="I44" s="29"/>
      <c r="J44" s="29"/>
      <c r="K44" s="29"/>
      <c r="L44" s="29"/>
      <c r="M44" s="29"/>
      <c r="N44" s="29"/>
    </row>
    <row r="45" spans="1:14" x14ac:dyDescent="0.3">
      <c r="A45" s="29"/>
      <c r="B45" s="29"/>
      <c r="C45" s="29"/>
      <c r="D45" s="29"/>
      <c r="E45" s="29"/>
      <c r="F45" s="29"/>
      <c r="G45" s="29"/>
      <c r="H45" s="29"/>
      <c r="I45" s="29"/>
      <c r="J45" s="29"/>
      <c r="K45" s="29"/>
      <c r="L45" s="29"/>
      <c r="M45" s="29"/>
      <c r="N45" s="29"/>
    </row>
    <row r="46" spans="1:14" x14ac:dyDescent="0.3">
      <c r="A46" s="29"/>
      <c r="B46" s="29"/>
      <c r="C46" s="29"/>
      <c r="D46" s="29"/>
      <c r="E46" s="29"/>
      <c r="F46" s="29"/>
      <c r="G46" s="29"/>
      <c r="H46" s="29"/>
      <c r="I46" s="29"/>
      <c r="J46" s="29"/>
      <c r="K46" s="29"/>
      <c r="L46" s="29"/>
      <c r="M46" s="29"/>
      <c r="N46" s="29"/>
    </row>
    <row r="47" spans="1:14" x14ac:dyDescent="0.3">
      <c r="A47" s="29"/>
      <c r="B47" s="29"/>
      <c r="C47" s="29"/>
      <c r="D47" s="29"/>
      <c r="E47" s="29"/>
      <c r="F47" s="29"/>
      <c r="G47" s="29"/>
      <c r="H47" s="29"/>
      <c r="I47" s="29"/>
      <c r="J47" s="29"/>
      <c r="K47" s="29"/>
      <c r="L47" s="29"/>
      <c r="M47" s="29"/>
      <c r="N47" s="29"/>
    </row>
    <row r="48" spans="1:14" x14ac:dyDescent="0.3">
      <c r="A48" s="29"/>
      <c r="B48" s="29"/>
      <c r="C48" s="29"/>
      <c r="D48" s="29"/>
      <c r="E48" s="29"/>
      <c r="F48" s="29"/>
      <c r="G48" s="29"/>
      <c r="H48" s="29"/>
      <c r="I48" s="29"/>
      <c r="J48" s="29"/>
      <c r="K48" s="29"/>
      <c r="L48" s="29"/>
      <c r="M48" s="29"/>
      <c r="N48" s="29"/>
    </row>
    <row r="49" spans="1:14" x14ac:dyDescent="0.3">
      <c r="A49" s="29"/>
      <c r="B49" s="29"/>
      <c r="C49" s="29"/>
      <c r="D49" s="29"/>
      <c r="E49" s="29"/>
      <c r="F49" s="29"/>
      <c r="G49" s="29"/>
      <c r="H49" s="29"/>
      <c r="I49" s="29"/>
      <c r="J49" s="29"/>
      <c r="K49" s="29"/>
      <c r="L49" s="29"/>
      <c r="M49" s="29"/>
      <c r="N49" s="29"/>
    </row>
    <row r="50" spans="1:14" x14ac:dyDescent="0.3">
      <c r="A50" s="29"/>
      <c r="B50" s="29"/>
      <c r="C50" s="29"/>
      <c r="D50" s="29"/>
      <c r="E50" s="29"/>
      <c r="F50" s="29"/>
      <c r="G50" s="29"/>
      <c r="H50" s="29"/>
      <c r="I50" s="29"/>
      <c r="J50" s="29"/>
      <c r="K50" s="29"/>
      <c r="L50" s="29"/>
      <c r="M50" s="29"/>
      <c r="N50" s="29"/>
    </row>
    <row r="51" spans="1:14" x14ac:dyDescent="0.3">
      <c r="A51" s="29"/>
      <c r="B51" s="29"/>
      <c r="C51" s="29"/>
      <c r="D51" s="29"/>
      <c r="E51" s="29"/>
      <c r="F51" s="29"/>
      <c r="G51" s="29"/>
      <c r="H51" s="29"/>
      <c r="I51" s="29"/>
      <c r="J51" s="29"/>
      <c r="K51" s="29"/>
      <c r="L51" s="29"/>
      <c r="M51" s="29"/>
      <c r="N51" s="29"/>
    </row>
    <row r="52" spans="1:14" x14ac:dyDescent="0.3">
      <c r="A52" s="29"/>
      <c r="B52" s="29"/>
      <c r="C52" s="29"/>
      <c r="D52" s="29"/>
      <c r="E52" s="29"/>
      <c r="F52" s="29"/>
      <c r="G52" s="29"/>
      <c r="H52" s="29"/>
      <c r="I52" s="29"/>
      <c r="J52" s="29"/>
      <c r="K52" s="29"/>
      <c r="L52" s="29"/>
      <c r="M52" s="29"/>
      <c r="N52" s="29"/>
    </row>
    <row r="53" spans="1:14" x14ac:dyDescent="0.3">
      <c r="A53" s="29"/>
      <c r="B53" s="29"/>
      <c r="C53" s="29"/>
      <c r="D53" s="29"/>
      <c r="E53" s="29"/>
      <c r="F53" s="29"/>
      <c r="G53" s="29"/>
      <c r="H53" s="29"/>
      <c r="I53" s="29"/>
      <c r="J53" s="29"/>
      <c r="K53" s="29"/>
      <c r="L53" s="29"/>
      <c r="M53" s="29"/>
      <c r="N53" s="29"/>
    </row>
    <row r="54" spans="1:14" x14ac:dyDescent="0.3">
      <c r="A54" s="29"/>
      <c r="B54" s="29"/>
      <c r="C54" s="29"/>
      <c r="D54" s="29"/>
      <c r="E54" s="29"/>
      <c r="F54" s="29"/>
      <c r="G54" s="29"/>
      <c r="H54" s="29"/>
      <c r="I54" s="29"/>
      <c r="J54" s="29"/>
      <c r="K54" s="29"/>
      <c r="L54" s="29"/>
      <c r="M54" s="29"/>
      <c r="N54" s="29"/>
    </row>
    <row r="55" spans="1:14" x14ac:dyDescent="0.3">
      <c r="A55" s="29"/>
      <c r="B55" s="29"/>
      <c r="C55" s="29"/>
      <c r="D55" s="29"/>
      <c r="E55" s="29"/>
      <c r="F55" s="29"/>
      <c r="G55" s="29"/>
      <c r="H55" s="29"/>
      <c r="I55" s="29"/>
      <c r="J55" s="29"/>
      <c r="K55" s="29"/>
      <c r="L55" s="29"/>
      <c r="M55" s="29"/>
      <c r="N55" s="29"/>
    </row>
    <row r="56" spans="1:14" x14ac:dyDescent="0.3">
      <c r="A56" s="29"/>
      <c r="B56" s="29"/>
      <c r="C56" s="29"/>
      <c r="D56" s="29"/>
      <c r="E56" s="29"/>
      <c r="F56" s="29"/>
      <c r="G56" s="29"/>
      <c r="H56" s="29"/>
      <c r="I56" s="29"/>
      <c r="J56" s="29"/>
      <c r="K56" s="29"/>
      <c r="L56" s="29"/>
      <c r="M56" s="29"/>
      <c r="N56" s="29"/>
    </row>
    <row r="57" spans="1:14" x14ac:dyDescent="0.3">
      <c r="A57" s="29"/>
      <c r="B57" s="29"/>
      <c r="C57" s="29"/>
      <c r="D57" s="29"/>
      <c r="E57" s="29"/>
      <c r="F57" s="29"/>
      <c r="G57" s="29"/>
      <c r="H57" s="29"/>
      <c r="I57" s="29"/>
      <c r="J57" s="29"/>
      <c r="K57" s="29"/>
      <c r="L57" s="29"/>
      <c r="M57" s="29"/>
      <c r="N57" s="29"/>
    </row>
    <row r="58" spans="1:14" x14ac:dyDescent="0.3">
      <c r="A58" s="29"/>
      <c r="B58" s="29"/>
      <c r="C58" s="29"/>
      <c r="D58" s="29"/>
      <c r="E58" s="29"/>
      <c r="F58" s="29"/>
      <c r="G58" s="29"/>
      <c r="H58" s="29"/>
      <c r="I58" s="29"/>
      <c r="J58" s="29"/>
      <c r="K58" s="29"/>
      <c r="L58" s="29"/>
      <c r="M58" s="29"/>
      <c r="N58" s="29"/>
    </row>
    <row r="59" spans="1:14" x14ac:dyDescent="0.3">
      <c r="A59" s="29"/>
      <c r="B59" s="29"/>
      <c r="C59" s="29"/>
      <c r="D59" s="29"/>
      <c r="E59" s="29"/>
      <c r="F59" s="29"/>
      <c r="G59" s="29"/>
      <c r="H59" s="29"/>
      <c r="I59" s="29"/>
      <c r="J59" s="29"/>
      <c r="K59" s="29"/>
      <c r="L59" s="29"/>
      <c r="M59" s="29"/>
      <c r="N59" s="29"/>
    </row>
    <row r="60" spans="1:14" x14ac:dyDescent="0.3">
      <c r="A60" s="29"/>
      <c r="B60" s="29"/>
      <c r="C60" s="29"/>
      <c r="D60" s="29"/>
      <c r="E60" s="29"/>
      <c r="F60" s="29"/>
      <c r="G60" s="29"/>
      <c r="H60" s="29"/>
      <c r="I60" s="29"/>
      <c r="J60" s="29"/>
      <c r="K60" s="29"/>
      <c r="L60" s="29"/>
      <c r="M60" s="29"/>
      <c r="N60" s="29"/>
    </row>
    <row r="61" spans="1:14" x14ac:dyDescent="0.3">
      <c r="A61" s="29"/>
      <c r="B61" s="29"/>
      <c r="C61" s="29"/>
      <c r="D61" s="29"/>
      <c r="E61" s="29"/>
      <c r="F61" s="29"/>
      <c r="G61" s="29"/>
      <c r="H61" s="29"/>
      <c r="I61" s="29"/>
      <c r="J61" s="29"/>
      <c r="K61" s="29"/>
      <c r="L61" s="29"/>
      <c r="M61" s="29"/>
      <c r="N61" s="29"/>
    </row>
    <row r="62" spans="1:14" x14ac:dyDescent="0.3">
      <c r="A62" s="29"/>
      <c r="B62" s="29"/>
      <c r="C62" s="29"/>
      <c r="D62" s="29"/>
      <c r="E62" s="29"/>
      <c r="F62" s="29"/>
      <c r="G62" s="29"/>
      <c r="H62" s="29"/>
      <c r="I62" s="29"/>
      <c r="J62" s="29"/>
      <c r="K62" s="29"/>
      <c r="L62" s="29"/>
      <c r="M62" s="29"/>
      <c r="N62" s="29"/>
    </row>
    <row r="63" spans="1:14" x14ac:dyDescent="0.3">
      <c r="A63" s="29"/>
      <c r="B63" s="29"/>
      <c r="C63" s="29"/>
      <c r="D63" s="29"/>
      <c r="E63" s="29"/>
      <c r="F63" s="29"/>
      <c r="G63" s="29"/>
      <c r="H63" s="29"/>
      <c r="I63" s="29"/>
      <c r="J63" s="29"/>
      <c r="K63" s="29"/>
      <c r="L63" s="29"/>
      <c r="M63" s="29"/>
      <c r="N63" s="29"/>
    </row>
    <row r="64" spans="1:14" x14ac:dyDescent="0.3">
      <c r="A64" s="29"/>
      <c r="B64" s="29"/>
      <c r="C64" s="29"/>
      <c r="D64" s="29"/>
      <c r="E64" s="29"/>
      <c r="F64" s="29"/>
      <c r="G64" s="29"/>
      <c r="H64" s="29"/>
      <c r="I64" s="29"/>
      <c r="J64" s="29"/>
      <c r="K64" s="29"/>
      <c r="L64" s="29"/>
      <c r="M64" s="29"/>
      <c r="N64" s="29"/>
    </row>
    <row r="65" spans="1:14" x14ac:dyDescent="0.3">
      <c r="A65" s="29"/>
      <c r="B65" s="29"/>
      <c r="C65" s="29"/>
      <c r="D65" s="29"/>
      <c r="E65" s="29"/>
      <c r="F65" s="29"/>
      <c r="G65" s="29"/>
      <c r="H65" s="29"/>
      <c r="I65" s="29"/>
      <c r="J65" s="29"/>
      <c r="K65" s="29"/>
      <c r="L65" s="29"/>
      <c r="M65" s="29"/>
      <c r="N65" s="29"/>
    </row>
    <row r="66" spans="1:14" x14ac:dyDescent="0.3">
      <c r="A66" s="29"/>
      <c r="B66" s="29"/>
      <c r="C66" s="29"/>
      <c r="D66" s="29"/>
      <c r="E66" s="29"/>
      <c r="F66" s="29"/>
      <c r="G66" s="29"/>
      <c r="H66" s="29"/>
      <c r="I66" s="29"/>
      <c r="J66" s="29"/>
      <c r="K66" s="29"/>
      <c r="L66" s="29"/>
      <c r="M66" s="29"/>
      <c r="N66" s="29"/>
    </row>
    <row r="67" spans="1:14" x14ac:dyDescent="0.3">
      <c r="A67" s="29"/>
      <c r="B67" s="29"/>
      <c r="C67" s="29"/>
      <c r="D67" s="29"/>
      <c r="E67" s="29"/>
      <c r="F67" s="29"/>
      <c r="G67" s="29"/>
      <c r="H67" s="29"/>
      <c r="I67" s="29"/>
      <c r="J67" s="29"/>
      <c r="K67" s="29"/>
      <c r="L67" s="29"/>
      <c r="M67" s="29"/>
      <c r="N67" s="29"/>
    </row>
    <row r="68" spans="1:14" x14ac:dyDescent="0.3">
      <c r="A68" s="29"/>
      <c r="B68" s="29"/>
      <c r="C68" s="29"/>
      <c r="D68" s="29"/>
      <c r="E68" s="29"/>
      <c r="F68" s="29"/>
      <c r="G68" s="29"/>
      <c r="H68" s="29"/>
      <c r="I68" s="29"/>
      <c r="J68" s="29"/>
      <c r="K68" s="29"/>
      <c r="L68" s="29"/>
      <c r="M68" s="29"/>
      <c r="N68" s="29"/>
    </row>
    <row r="69" spans="1:14" x14ac:dyDescent="0.3">
      <c r="A69" s="29"/>
      <c r="B69" s="29"/>
      <c r="C69" s="29"/>
      <c r="D69" s="29"/>
      <c r="E69" s="29"/>
      <c r="F69" s="29"/>
      <c r="G69" s="29"/>
      <c r="H69" s="29"/>
      <c r="I69" s="29"/>
      <c r="J69" s="29"/>
      <c r="K69" s="29"/>
      <c r="L69" s="29"/>
      <c r="M69" s="29"/>
      <c r="N69" s="29"/>
    </row>
    <row r="70" spans="1:14" x14ac:dyDescent="0.3">
      <c r="A70" s="29"/>
      <c r="B70" s="29"/>
      <c r="C70" s="29"/>
      <c r="D70" s="29"/>
      <c r="E70" s="29"/>
      <c r="F70" s="29"/>
      <c r="G70" s="29"/>
      <c r="H70" s="29"/>
      <c r="I70" s="29"/>
      <c r="J70" s="29"/>
      <c r="K70" s="29"/>
      <c r="L70" s="29"/>
      <c r="M70" s="29"/>
      <c r="N70" s="29"/>
    </row>
    <row r="71" spans="1:14" x14ac:dyDescent="0.3">
      <c r="A71" s="29"/>
      <c r="B71" s="29"/>
      <c r="C71" s="29"/>
      <c r="D71" s="29"/>
      <c r="E71" s="29"/>
      <c r="F71" s="29"/>
      <c r="G71" s="29"/>
      <c r="H71" s="29"/>
      <c r="I71" s="29"/>
      <c r="J71" s="29"/>
      <c r="K71" s="29"/>
      <c r="L71" s="29"/>
      <c r="M71" s="29"/>
      <c r="N71" s="29"/>
    </row>
    <row r="72" spans="1:14" x14ac:dyDescent="0.3">
      <c r="A72" s="29"/>
      <c r="B72" s="29"/>
      <c r="C72" s="29"/>
      <c r="D72" s="29"/>
      <c r="E72" s="29"/>
      <c r="F72" s="29"/>
      <c r="G72" s="29"/>
      <c r="H72" s="29"/>
      <c r="I72" s="29"/>
      <c r="J72" s="29"/>
      <c r="K72" s="29"/>
      <c r="L72" s="29"/>
      <c r="M72" s="29"/>
      <c r="N72" s="29"/>
    </row>
    <row r="73" spans="1:14" x14ac:dyDescent="0.3">
      <c r="A73" s="29"/>
      <c r="B73" s="29"/>
      <c r="C73" s="29"/>
      <c r="D73" s="29"/>
      <c r="E73" s="29"/>
      <c r="F73" s="29"/>
      <c r="G73" s="29"/>
      <c r="H73" s="29"/>
      <c r="I73" s="29"/>
      <c r="J73" s="29"/>
      <c r="K73" s="29"/>
      <c r="L73" s="29"/>
      <c r="M73" s="29"/>
      <c r="N73" s="29"/>
    </row>
    <row r="74" spans="1:14" x14ac:dyDescent="0.3">
      <c r="A74" s="29"/>
      <c r="B74" s="29"/>
      <c r="C74" s="29"/>
      <c r="D74" s="29"/>
      <c r="E74" s="29"/>
      <c r="F74" s="29"/>
      <c r="G74" s="29"/>
      <c r="H74" s="29"/>
      <c r="I74" s="29"/>
      <c r="J74" s="29"/>
      <c r="K74" s="29"/>
      <c r="L74" s="29"/>
      <c r="M74" s="29"/>
      <c r="N74" s="29"/>
    </row>
    <row r="75" spans="1:14" x14ac:dyDescent="0.3">
      <c r="A75" s="29"/>
      <c r="B75" s="29"/>
      <c r="C75" s="29"/>
      <c r="D75" s="29"/>
      <c r="E75" s="29"/>
      <c r="F75" s="29"/>
      <c r="G75" s="29"/>
      <c r="H75" s="29"/>
      <c r="I75" s="29"/>
      <c r="J75" s="29"/>
      <c r="K75" s="29"/>
      <c r="L75" s="29"/>
      <c r="M75" s="29"/>
      <c r="N75" s="29"/>
    </row>
    <row r="76" spans="1:14" x14ac:dyDescent="0.3">
      <c r="A76" s="29"/>
      <c r="B76" s="29"/>
      <c r="C76" s="29"/>
      <c r="D76" s="29"/>
      <c r="E76" s="29"/>
      <c r="F76" s="29"/>
      <c r="G76" s="29"/>
      <c r="H76" s="29"/>
      <c r="I76" s="29"/>
      <c r="J76" s="29"/>
      <c r="K76" s="29"/>
      <c r="L76" s="29"/>
      <c r="M76" s="29"/>
      <c r="N76" s="29"/>
    </row>
    <row r="77" spans="1:14" x14ac:dyDescent="0.3">
      <c r="A77" s="47" t="s">
        <v>272</v>
      </c>
      <c r="B77" s="37"/>
      <c r="C77" s="37"/>
      <c r="D77" s="37"/>
      <c r="E77" s="37"/>
      <c r="F77" s="37"/>
      <c r="G77" s="37"/>
      <c r="H77" s="37"/>
      <c r="I77" s="37"/>
      <c r="J77" s="37"/>
      <c r="K77" s="37"/>
      <c r="L77" s="37"/>
      <c r="M77" s="37"/>
      <c r="N77" s="37"/>
    </row>
    <row r="78" spans="1:14" x14ac:dyDescent="0.3">
      <c r="A78" s="37"/>
      <c r="B78" s="37"/>
      <c r="C78" s="37"/>
      <c r="D78" s="37"/>
      <c r="E78" s="37"/>
      <c r="F78" s="37"/>
      <c r="G78" s="37"/>
      <c r="H78" s="37"/>
      <c r="I78" s="37"/>
      <c r="J78" s="37"/>
      <c r="K78" s="37"/>
      <c r="L78" s="37"/>
      <c r="M78" s="37"/>
      <c r="N78" s="37"/>
    </row>
    <row r="79" spans="1:14" x14ac:dyDescent="0.3">
      <c r="A79" s="37"/>
      <c r="B79" s="37"/>
      <c r="C79" s="37"/>
      <c r="D79" s="37"/>
      <c r="E79" s="37"/>
      <c r="F79" s="37"/>
      <c r="G79" s="37"/>
      <c r="H79" s="37"/>
      <c r="I79" s="37"/>
      <c r="J79" s="37"/>
      <c r="K79" s="37"/>
      <c r="L79" s="37"/>
      <c r="M79" s="37"/>
      <c r="N79" s="37"/>
    </row>
    <row r="80" spans="1:14" x14ac:dyDescent="0.3">
      <c r="A80" s="29"/>
      <c r="B80" s="29"/>
      <c r="C80" s="29"/>
      <c r="D80" s="29"/>
      <c r="E80" s="29"/>
      <c r="F80" s="29"/>
      <c r="G80" s="29"/>
      <c r="H80" s="29"/>
      <c r="I80" s="29"/>
      <c r="J80" s="29"/>
      <c r="K80" s="29"/>
      <c r="L80" s="29"/>
      <c r="M80" s="29"/>
      <c r="N80" s="29"/>
    </row>
  </sheetData>
  <mergeCells count="22">
    <mergeCell ref="L18:N20"/>
    <mergeCell ref="A77:N79"/>
    <mergeCell ref="J13:L15"/>
    <mergeCell ref="M12:N12"/>
    <mergeCell ref="M13:N15"/>
    <mergeCell ref="A17:C17"/>
    <mergeCell ref="A18:C20"/>
    <mergeCell ref="D17:G17"/>
    <mergeCell ref="D18:G20"/>
    <mergeCell ref="H17:K17"/>
    <mergeCell ref="H18:K20"/>
    <mergeCell ref="L17:N17"/>
    <mergeCell ref="A1:N2"/>
    <mergeCell ref="A3:N3"/>
    <mergeCell ref="C4:F4"/>
    <mergeCell ref="A12:C12"/>
    <mergeCell ref="A13:C15"/>
    <mergeCell ref="D12:F12"/>
    <mergeCell ref="D13:F15"/>
    <mergeCell ref="G12:I12"/>
    <mergeCell ref="G13:I15"/>
    <mergeCell ref="J12:L12"/>
  </mergeCells>
  <conditionalFormatting sqref="G13:I15">
    <cfRule type="cellIs" dxfId="0" priority="1" operator="lessThan">
      <formula>0</formula>
    </cfRule>
  </conditionalFormatting>
  <pageMargins left="0.7" right="0.7" top="0.75" bottom="0.75" header="0.3" footer="0.3"/>
  <drawing r:id="rId1"/>
  <extLst>
    <ext xmlns:x14="http://schemas.microsoft.com/office/spreadsheetml/2009/9/main" uri="{A8765BA9-456A-4dab-B4F3-ACF838C121DE}">
      <x14:slicerList>
        <x14:slicer r:id="rId2"/>
      </x14:slicerList>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D4CA5-0B73-4863-AB6B-D9E18D6A19BE}">
  <dimension ref="A1:I12"/>
  <sheetViews>
    <sheetView workbookViewId="0">
      <selection activeCell="B3" sqref="B3"/>
    </sheetView>
  </sheetViews>
  <sheetFormatPr defaultRowHeight="14.4" x14ac:dyDescent="0.3"/>
  <cols>
    <col min="1" max="1" width="19.6640625" customWidth="1"/>
    <col min="2" max="2" width="13.77734375" customWidth="1"/>
    <col min="3" max="3" width="13.33203125" customWidth="1"/>
    <col min="5" max="5" width="15.77734375" customWidth="1"/>
    <col min="6" max="6" width="21.33203125" customWidth="1"/>
    <col min="8" max="8" width="19.44140625" customWidth="1"/>
  </cols>
  <sheetData>
    <row r="1" spans="1:9" x14ac:dyDescent="0.3">
      <c r="A1" t="s">
        <v>86</v>
      </c>
    </row>
    <row r="3" spans="1:9" x14ac:dyDescent="0.3">
      <c r="A3" t="s">
        <v>87</v>
      </c>
      <c r="B3" t="s">
        <v>94</v>
      </c>
    </row>
    <row r="4" spans="1:9" x14ac:dyDescent="0.3">
      <c r="A4" t="s">
        <v>89</v>
      </c>
      <c r="B4" s="8">
        <f>IFERROR(INDEX($B$8:$B$10,MATCH($B$3,$A$8:$A$10,0)),0)</f>
        <v>0.12</v>
      </c>
    </row>
    <row r="5" spans="1:9" x14ac:dyDescent="0.3">
      <c r="A5" t="s">
        <v>90</v>
      </c>
      <c r="B5" s="8">
        <f>IFERROR(INDEX($C$8:$C$10,MATCH($B$3,$A$8:$A$10,0)),0)</f>
        <v>-0.01</v>
      </c>
    </row>
    <row r="7" spans="1:9" x14ac:dyDescent="0.3">
      <c r="A7" t="s">
        <v>91</v>
      </c>
      <c r="B7" t="s">
        <v>92</v>
      </c>
      <c r="C7" t="s">
        <v>93</v>
      </c>
      <c r="E7" t="s">
        <v>96</v>
      </c>
      <c r="F7" t="s">
        <v>97</v>
      </c>
      <c r="H7" s="9" t="s">
        <v>98</v>
      </c>
      <c r="I7" s="9" t="s">
        <v>102</v>
      </c>
    </row>
    <row r="8" spans="1:9" x14ac:dyDescent="0.3">
      <c r="A8" t="s">
        <v>94</v>
      </c>
      <c r="B8" s="7">
        <v>0.12</v>
      </c>
      <c r="C8" s="7">
        <v>-0.01</v>
      </c>
      <c r="E8" t="s">
        <v>20</v>
      </c>
      <c r="F8" s="7">
        <v>0.08</v>
      </c>
      <c r="H8" t="s">
        <v>99</v>
      </c>
      <c r="I8" s="7">
        <v>0.3</v>
      </c>
    </row>
    <row r="9" spans="1:9" x14ac:dyDescent="0.3">
      <c r="A9" t="s">
        <v>88</v>
      </c>
      <c r="B9" s="7">
        <v>7.0000000000000007E-2</v>
      </c>
      <c r="C9" s="7">
        <v>0.02</v>
      </c>
      <c r="E9" t="s">
        <v>22</v>
      </c>
      <c r="F9" s="7">
        <v>0.08</v>
      </c>
      <c r="H9" t="s">
        <v>100</v>
      </c>
      <c r="I9">
        <v>10</v>
      </c>
    </row>
    <row r="10" spans="1:9" x14ac:dyDescent="0.3">
      <c r="A10" t="s">
        <v>95</v>
      </c>
      <c r="B10" s="7">
        <v>-0.03</v>
      </c>
      <c r="C10" s="7">
        <v>0.06</v>
      </c>
      <c r="E10" t="s">
        <v>21</v>
      </c>
      <c r="F10" s="7">
        <v>0.08</v>
      </c>
      <c r="H10" t="s">
        <v>101</v>
      </c>
      <c r="I10">
        <v>2023</v>
      </c>
    </row>
    <row r="11" spans="1:9" x14ac:dyDescent="0.3">
      <c r="E11" t="s">
        <v>23</v>
      </c>
      <c r="F11" s="7">
        <v>0.08</v>
      </c>
    </row>
    <row r="12" spans="1:9" x14ac:dyDescent="0.3">
      <c r="E12" t="s">
        <v>19</v>
      </c>
      <c r="F12" s="7">
        <v>0.08</v>
      </c>
    </row>
  </sheetData>
  <dataValidations count="1">
    <dataValidation type="list" allowBlank="1" showInputMessage="1" showErrorMessage="1" sqref="B3" xr:uid="{BED3B256-48C9-4FE3-ACE0-16AC4E3CC571}">
      <formula1>$A$8:$A$10</formula1>
    </dataValidation>
  </dataValidations>
  <pageMargins left="0.7" right="0.7" top="0.75" bottom="0.75" header="0.3" footer="0.3"/>
  <pageSetup orientation="portrait"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017C-5F4D-4B58-8932-0DE852625A1C}">
  <dimension ref="A1:Q51"/>
  <sheetViews>
    <sheetView topLeftCell="D1" workbookViewId="0">
      <selection activeCell="D6" sqref="D6"/>
    </sheetView>
  </sheetViews>
  <sheetFormatPr defaultRowHeight="14.4" x14ac:dyDescent="0.3"/>
  <cols>
    <col min="1" max="1" width="14.33203125" bestFit="1" customWidth="1"/>
    <col min="2" max="2" width="16.109375" bestFit="1" customWidth="1"/>
    <col min="3" max="3" width="16.77734375" customWidth="1"/>
    <col min="4" max="4" width="15.44140625" customWidth="1"/>
    <col min="5" max="5" width="16.21875" customWidth="1"/>
    <col min="6" max="6" width="13.44140625" customWidth="1"/>
    <col min="7" max="7" width="15.44140625" customWidth="1"/>
    <col min="8" max="8" width="19.109375" customWidth="1"/>
    <col min="9" max="9" width="12.109375" customWidth="1"/>
    <col min="10" max="10" width="16.6640625" customWidth="1"/>
    <col min="11" max="11" width="13.88671875" customWidth="1"/>
    <col min="12" max="12" width="15.88671875" customWidth="1"/>
    <col min="13" max="13" width="25" bestFit="1" customWidth="1"/>
    <col min="14" max="14" width="24.33203125" customWidth="1"/>
    <col min="15" max="15" width="14.5546875" bestFit="1" customWidth="1"/>
  </cols>
  <sheetData>
    <row r="1" spans="1:17" x14ac:dyDescent="0.3">
      <c r="A1" s="9" t="s">
        <v>112</v>
      </c>
      <c r="B1" s="9"/>
      <c r="C1" s="9"/>
    </row>
    <row r="2" spans="1:17" x14ac:dyDescent="0.3">
      <c r="A2" s="16" t="s">
        <v>113</v>
      </c>
      <c r="B2" s="18">
        <f>SUM(tblBudget[Actual_Sales])</f>
        <v>6962074.2699998273</v>
      </c>
      <c r="C2" s="16" t="s">
        <v>114</v>
      </c>
      <c r="D2" s="17">
        <f>SUM(tblBudget[Budgeted_Sales])</f>
        <v>5745725.1179999961</v>
      </c>
      <c r="E2" s="40" t="s">
        <v>115</v>
      </c>
      <c r="F2" s="18">
        <f>SUM(tblBudget[Sales_Variance])</f>
        <v>1216349.1519998307</v>
      </c>
      <c r="G2" s="40" t="s">
        <v>116</v>
      </c>
      <c r="H2" s="16">
        <f>IFERROR(SUM(tblBudget[Sales_Variance])/SUM(tblBudget[Budgeted_Sales]),0)</f>
        <v>0.21169637026130905</v>
      </c>
      <c r="I2" s="40" t="s">
        <v>117</v>
      </c>
      <c r="J2" s="18">
        <f>SUM(tblBudget[Actual_Profit])</f>
        <v>1824242</v>
      </c>
      <c r="K2" s="9" t="s">
        <v>118</v>
      </c>
      <c r="L2" s="17">
        <f>SUM(tblBudget[Budgeted_Profit])</f>
        <v>1723717.5353999985</v>
      </c>
      <c r="N2" s="41" t="s">
        <v>267</v>
      </c>
      <c r="O2" s="39">
        <f>SUMIFS($E:$E,$A:$A,"&gt;="&amp;DATE(2023,1,1),$A:$A,"&lt;"&amp;DATE(2023,10,1))</f>
        <v>5745725.1179999961</v>
      </c>
      <c r="P2" s="38"/>
      <c r="Q2" s="38"/>
    </row>
    <row r="4" spans="1:17" x14ac:dyDescent="0.3">
      <c r="M4" s="9" t="s">
        <v>267</v>
      </c>
      <c r="N4" s="15">
        <f>SUMIFS($E:$E,$A:$A,"&gt;="&amp;DATE(2023,1,1),$A:$A,"&lt;"&amp;DATE(2023,10,1))</f>
        <v>5745725.1179999961</v>
      </c>
    </row>
    <row r="5" spans="1:17" x14ac:dyDescent="0.3">
      <c r="M5" s="9" t="s">
        <v>268</v>
      </c>
      <c r="N5" s="15">
        <f>SUMIFS($F:$F,$A:$A,"&gt;="&amp;DATE(2023,1,1),$A:$A,"&lt;"&amp;DATE(2023,10,1))-SUMIFS($E:$E,$A:$A,"&gt;="&amp;DATE(2023,1,1),$A:$A,"&lt;"&amp;DATE(2023,10,1))</f>
        <v>1216349.1519998312</v>
      </c>
    </row>
    <row r="6" spans="1:17" x14ac:dyDescent="0.3">
      <c r="A6" t="s">
        <v>27</v>
      </c>
      <c r="B6" t="s">
        <v>96</v>
      </c>
      <c r="C6" t="s">
        <v>103</v>
      </c>
      <c r="D6" t="s">
        <v>104</v>
      </c>
      <c r="E6" t="s">
        <v>105</v>
      </c>
      <c r="F6" t="s">
        <v>106</v>
      </c>
      <c r="G6" t="s">
        <v>107</v>
      </c>
      <c r="H6" t="s">
        <v>108</v>
      </c>
      <c r="I6" t="s">
        <v>4</v>
      </c>
      <c r="J6" t="s">
        <v>109</v>
      </c>
      <c r="K6" t="s">
        <v>110</v>
      </c>
      <c r="L6" t="s">
        <v>111</v>
      </c>
    </row>
    <row r="7" spans="1:17" x14ac:dyDescent="0.3">
      <c r="A7" s="10">
        <f>DATE(2023,INT((ROW()-7)/5)+1,1)</f>
        <v>44927</v>
      </c>
      <c r="B7" t="str">
        <f>INDEX(tblCategoryTargets[Category],MOD(ROW()-7,5)+1)</f>
        <v>Art &amp; Crafts</v>
      </c>
      <c r="C7" s="11">
        <f>SUMIFS(tblMonthlyActuals[Sales_Revenue],tblMonthlyActuals[Month_Start],EDATE($A7,-12),tblMonthlyActuals[Product_Category],$B7)</f>
        <v>35097.180000002176</v>
      </c>
      <c r="D7" s="8">
        <f>IFERROR(INDEX(tblCategoryTargets[Budget Growth Target],MATCH(tblBudget[[#This Row],[Category]],tblCategoryTargets[Category],0)),0)</f>
        <v>0.08</v>
      </c>
      <c r="E7" s="11">
        <f t="shared" ref="E7:E51" si="0">C7*(1+D7)</f>
        <v>37904.954400002352</v>
      </c>
      <c r="F7" s="12">
        <f>SUMIFS(tblMonthlyActuals[Sales_Revenue],tblMonthlyActuals[Month_Start],$A7,tblMonthlyActuals[Product_Category],$B7)</f>
        <v>195905.21999998926</v>
      </c>
      <c r="G7" s="15">
        <f t="shared" ref="G7:G51" si="1">F7-E7</f>
        <v>158000.26559998692</v>
      </c>
      <c r="H7" s="13">
        <f t="shared" ref="H7:H51" si="2">IFERROR(G7/E7,0)</f>
        <v>4.168327547176184</v>
      </c>
      <c r="I7" t="str">
        <f t="shared" ref="I7:I51" si="3">IF(G7&gt;=0,"Above Budget","Below Budget")</f>
        <v>Above Budget</v>
      </c>
      <c r="J7" s="14">
        <f>E7*Assumptions!$I$8</f>
        <v>11371.486320000706</v>
      </c>
      <c r="K7" s="12">
        <f>SUMIFS(tblMonthlyActuals[Gross_Profit],tblMonthlyActuals[Month_Start],$A7,tblMonthlyActuals[Product_Category],$B7)</f>
        <v>50698</v>
      </c>
      <c r="L7" s="15">
        <f t="shared" ref="L7:L51" si="4">K7-J7</f>
        <v>39326.513679999291</v>
      </c>
    </row>
    <row r="8" spans="1:17" x14ac:dyDescent="0.3">
      <c r="A8" s="10">
        <f t="shared" ref="A8:A51" si="5">DATE(2023,INT((ROW()-7)/5)+1,1)</f>
        <v>44927</v>
      </c>
      <c r="B8" t="str">
        <f>INDEX(tblCategoryTargets[Category],MOD(ROW()-7,5)+1)</f>
        <v>Electronics</v>
      </c>
      <c r="C8" s="11">
        <f>SUMIFS(tblMonthlyActuals[Sales_Revenue],tblMonthlyActuals[Month_Start],EDATE($A8,-12),tblMonthlyActuals[Product_Category],$B8)</f>
        <v>143088.62000000791</v>
      </c>
      <c r="D8" s="8">
        <f>IFERROR(INDEX(tblCategoryTargets[Budget Growth Target],MATCH(tblBudget[[#This Row],[Category]],tblCategoryTargets[Category],0)),0)</f>
        <v>0.08</v>
      </c>
      <c r="E8" s="11">
        <f t="shared" si="0"/>
        <v>154535.70960000856</v>
      </c>
      <c r="F8" s="12">
        <f>SUMIFS(tblMonthlyActuals[Sales_Revenue],tblMonthlyActuals[Month_Start],$A8,tblMonthlyActuals[Product_Category],$B8)</f>
        <v>102774.81000000582</v>
      </c>
      <c r="G8" s="15">
        <f t="shared" si="1"/>
        <v>-51760.89960000274</v>
      </c>
      <c r="H8" s="13">
        <f t="shared" si="2"/>
        <v>-0.33494458810832595</v>
      </c>
      <c r="I8" t="str">
        <f t="shared" si="3"/>
        <v>Below Budget</v>
      </c>
      <c r="J8" s="14">
        <f>E8*Assumptions!$I$8</f>
        <v>46360.712880002568</v>
      </c>
      <c r="K8" s="12">
        <f>SUMIFS(tblMonthlyActuals[Gross_Profit],tblMonthlyActuals[Month_Start],$A8,tblMonthlyActuals[Product_Category],$B8)</f>
        <v>41720</v>
      </c>
      <c r="L8" s="15">
        <f t="shared" si="4"/>
        <v>-4640.7128800025675</v>
      </c>
    </row>
    <row r="9" spans="1:17" x14ac:dyDescent="0.3">
      <c r="A9" s="10">
        <f t="shared" si="5"/>
        <v>44927</v>
      </c>
      <c r="B9" t="str">
        <f>INDEX(tblCategoryTargets[Category],MOD(ROW()-7,5)+1)</f>
        <v>Games</v>
      </c>
      <c r="C9" s="11">
        <f>SUMIFS(tblMonthlyActuals[Sales_Revenue],tblMonthlyActuals[Month_Start],EDATE($A9,-12),tblMonthlyActuals[Product_Category],$B9)</f>
        <v>97575.980000007243</v>
      </c>
      <c r="D9" s="8">
        <f>IFERROR(INDEX(tblCategoryTargets[Budget Growth Target],MATCH(tblBudget[[#This Row],[Category]],tblCategoryTargets[Category],0)),0)</f>
        <v>0.08</v>
      </c>
      <c r="E9" s="11">
        <f t="shared" si="0"/>
        <v>105382.05840000782</v>
      </c>
      <c r="F9" s="12">
        <f>SUMIFS(tblMonthlyActuals[Sales_Revenue],tblMonthlyActuals[Month_Start],$A9,tblMonthlyActuals[Product_Category],$B9)</f>
        <v>139809.19000001581</v>
      </c>
      <c r="G9" s="15">
        <f t="shared" si="1"/>
        <v>34427.131600007982</v>
      </c>
      <c r="H9" s="13">
        <f t="shared" si="2"/>
        <v>0.32668873736865084</v>
      </c>
      <c r="I9" t="str">
        <f t="shared" si="3"/>
        <v>Above Budget</v>
      </c>
      <c r="J9" s="14">
        <f>E9*Assumptions!$I$8</f>
        <v>31614.617520002346</v>
      </c>
      <c r="K9" s="12">
        <f>SUMIFS(tblMonthlyActuals[Gross_Profit],tblMonthlyActuals[Month_Start],$A9,tblMonthlyActuals[Product_Category],$B9)</f>
        <v>41824</v>
      </c>
      <c r="L9" s="15">
        <f t="shared" si="4"/>
        <v>10209.382479997654</v>
      </c>
    </row>
    <row r="10" spans="1:17" x14ac:dyDescent="0.3">
      <c r="A10" s="10">
        <f t="shared" si="5"/>
        <v>44927</v>
      </c>
      <c r="B10" t="str">
        <f>INDEX(tblCategoryTargets[Category],MOD(ROW()-7,5)+1)</f>
        <v>Sports &amp; Outdoors</v>
      </c>
      <c r="C10" s="11">
        <f>SUMIFS(tblMonthlyActuals[Sales_Revenue],tblMonthlyActuals[Month_Start],EDATE($A10,-12),tblMonthlyActuals[Product_Category],$B10)</f>
        <v>74945.880000000689</v>
      </c>
      <c r="D10" s="8">
        <f>IFERROR(INDEX(tblCategoryTargets[Budget Growth Target],MATCH(tblBudget[[#This Row],[Category]],tblCategoryTargets[Category],0)),0)</f>
        <v>0.08</v>
      </c>
      <c r="E10" s="11">
        <f t="shared" si="0"/>
        <v>80941.55040000075</v>
      </c>
      <c r="F10" s="12">
        <f>SUMIFS(tblMonthlyActuals[Sales_Revenue],tblMonthlyActuals[Month_Start],$A10,tblMonthlyActuals[Product_Category],$B10)</f>
        <v>89548.060000004567</v>
      </c>
      <c r="G10" s="15">
        <f t="shared" si="1"/>
        <v>8606.5096000038175</v>
      </c>
      <c r="H10" s="13">
        <f t="shared" si="2"/>
        <v>0.10632993261769468</v>
      </c>
      <c r="I10" t="str">
        <f t="shared" si="3"/>
        <v>Above Budget</v>
      </c>
      <c r="J10" s="14">
        <f>E10*Assumptions!$I$8</f>
        <v>24282.465120000223</v>
      </c>
      <c r="K10" s="12">
        <f>SUMIFS(tblMonthlyActuals[Gross_Profit],tblMonthlyActuals[Month_Start],$A10,tblMonthlyActuals[Product_Category],$B10)</f>
        <v>23245</v>
      </c>
      <c r="L10" s="15">
        <f t="shared" si="4"/>
        <v>-1037.4651200002227</v>
      </c>
    </row>
    <row r="11" spans="1:17" x14ac:dyDescent="0.3">
      <c r="A11" s="10">
        <f t="shared" si="5"/>
        <v>44927</v>
      </c>
      <c r="B11" t="str">
        <f>INDEX(tblCategoryTargets[Category],MOD(ROW()-7,5)+1)</f>
        <v>Toys</v>
      </c>
      <c r="C11" s="11">
        <f>SUMIFS(tblMonthlyActuals[Sales_Revenue],tblMonthlyActuals[Month_Start],EDATE($A11,-12),tblMonthlyActuals[Product_Category],$B11)</f>
        <v>191847.24999998781</v>
      </c>
      <c r="D11" s="8">
        <f>IFERROR(INDEX(tblCategoryTargets[Budget Growth Target],MATCH(tblBudget[[#This Row],[Category]],tblCategoryTargets[Category],0)),0)</f>
        <v>0.08</v>
      </c>
      <c r="E11" s="11">
        <f t="shared" si="0"/>
        <v>207195.02999998684</v>
      </c>
      <c r="F11" s="12">
        <f>SUMIFS(tblMonthlyActuals[Sales_Revenue],tblMonthlyActuals[Month_Start],$A11,tblMonthlyActuals[Product_Category],$B11)</f>
        <v>219158.93999998114</v>
      </c>
      <c r="G11" s="15">
        <f t="shared" si="1"/>
        <v>11963.909999994299</v>
      </c>
      <c r="H11" s="13">
        <f t="shared" si="2"/>
        <v>5.7742263412375573E-2</v>
      </c>
      <c r="I11" t="str">
        <f t="shared" si="3"/>
        <v>Above Budget</v>
      </c>
      <c r="J11" s="14">
        <f>E11*Assumptions!$I$8</f>
        <v>62158.508999996047</v>
      </c>
      <c r="K11" s="12">
        <f>SUMIFS(tblMonthlyActuals[Gross_Profit],tblMonthlyActuals[Month_Start],$A11,tblMonthlyActuals[Product_Category],$B11)</f>
        <v>47587</v>
      </c>
      <c r="L11" s="15">
        <f t="shared" si="4"/>
        <v>-14571.508999996047</v>
      </c>
    </row>
    <row r="12" spans="1:17" x14ac:dyDescent="0.3">
      <c r="A12" s="10">
        <f t="shared" si="5"/>
        <v>44958</v>
      </c>
      <c r="B12" t="str">
        <f>INDEX(tblCategoryTargets[Category],MOD(ROW()-7,5)+1)</f>
        <v>Art &amp; Crafts</v>
      </c>
      <c r="C12" s="11">
        <f>SUMIFS(tblMonthlyActuals[Sales_Revenue],tblMonthlyActuals[Month_Start],EDATE($A12,-12),tblMonthlyActuals[Product_Category],$B12)</f>
        <v>33882.730000001829</v>
      </c>
      <c r="D12" s="8">
        <f>IFERROR(INDEX(tblCategoryTargets[Budget Growth Target],MATCH(tblBudget[[#This Row],[Category]],tblCategoryTargets[Category],0)),0)</f>
        <v>0.08</v>
      </c>
      <c r="E12" s="11">
        <f t="shared" si="0"/>
        <v>36593.348400001982</v>
      </c>
      <c r="F12" s="12">
        <f>SUMIFS(tblMonthlyActuals[Sales_Revenue],tblMonthlyActuals[Month_Start],$A12,tblMonthlyActuals[Product_Category],$B12)</f>
        <v>187713.09999998947</v>
      </c>
      <c r="G12" s="15">
        <f t="shared" si="1"/>
        <v>151119.7515999875</v>
      </c>
      <c r="H12" s="13">
        <f t="shared" si="2"/>
        <v>4.12970548494489</v>
      </c>
      <c r="I12" t="str">
        <f t="shared" si="3"/>
        <v>Above Budget</v>
      </c>
      <c r="J12" s="14">
        <f>E12*Assumptions!$I$8</f>
        <v>10978.004520000593</v>
      </c>
      <c r="K12" s="12">
        <f>SUMIFS(tblMonthlyActuals[Gross_Profit],tblMonthlyActuals[Month_Start],$A12,tblMonthlyActuals[Product_Category],$B12)</f>
        <v>49496</v>
      </c>
      <c r="L12" s="15">
        <f t="shared" si="4"/>
        <v>38517.995479999408</v>
      </c>
    </row>
    <row r="13" spans="1:17" x14ac:dyDescent="0.3">
      <c r="A13" s="10">
        <f t="shared" si="5"/>
        <v>44958</v>
      </c>
      <c r="B13" t="str">
        <f>INDEX(tblCategoryTargets[Category],MOD(ROW()-7,5)+1)</f>
        <v>Electronics</v>
      </c>
      <c r="C13" s="11">
        <f>SUMIFS(tblMonthlyActuals[Sales_Revenue],tblMonthlyActuals[Month_Start],EDATE($A13,-12),tblMonthlyActuals[Product_Category],$B13)</f>
        <v>133353.41000001013</v>
      </c>
      <c r="D13" s="8">
        <f>IFERROR(INDEX(tblCategoryTargets[Budget Growth Target],MATCH(tblBudget[[#This Row],[Category]],tblCategoryTargets[Category],0)),0)</f>
        <v>0.08</v>
      </c>
      <c r="E13" s="11">
        <f t="shared" si="0"/>
        <v>144021.68280001095</v>
      </c>
      <c r="F13" s="12">
        <f>SUMIFS(tblMonthlyActuals[Sales_Revenue],tblMonthlyActuals[Month_Start],$A13,tblMonthlyActuals[Product_Category],$B13)</f>
        <v>98999.690000005285</v>
      </c>
      <c r="G13" s="15">
        <f t="shared" si="1"/>
        <v>-45021.992800005668</v>
      </c>
      <c r="H13" s="13">
        <f t="shared" si="2"/>
        <v>-0.31260565718096334</v>
      </c>
      <c r="I13" t="str">
        <f t="shared" si="3"/>
        <v>Below Budget</v>
      </c>
      <c r="J13" s="14">
        <f>E13*Assumptions!$I$8</f>
        <v>43206.504840003283</v>
      </c>
      <c r="K13" s="12">
        <f>SUMIFS(tblMonthlyActuals[Gross_Profit],tblMonthlyActuals[Month_Start],$A13,tblMonthlyActuals[Product_Category],$B13)</f>
        <v>39246</v>
      </c>
      <c r="L13" s="15">
        <f t="shared" si="4"/>
        <v>-3960.5048400032829</v>
      </c>
    </row>
    <row r="14" spans="1:17" x14ac:dyDescent="0.3">
      <c r="A14" s="10">
        <f t="shared" si="5"/>
        <v>44958</v>
      </c>
      <c r="B14" t="str">
        <f>INDEX(tblCategoryTargets[Category],MOD(ROW()-7,5)+1)</f>
        <v>Games</v>
      </c>
      <c r="C14" s="11">
        <f>SUMIFS(tblMonthlyActuals[Sales_Revenue],tblMonthlyActuals[Month_Start],EDATE($A14,-12),tblMonthlyActuals[Product_Category],$B14)</f>
        <v>90147.020000005548</v>
      </c>
      <c r="D14" s="8">
        <f>IFERROR(INDEX(tblCategoryTargets[Budget Growth Target],MATCH(tblBudget[[#This Row],[Category]],tblCategoryTargets[Category],0)),0)</f>
        <v>0.08</v>
      </c>
      <c r="E14" s="11">
        <f t="shared" si="0"/>
        <v>97358.781600005997</v>
      </c>
      <c r="F14" s="12">
        <f>SUMIFS(tblMonthlyActuals[Sales_Revenue],tblMonthlyActuals[Month_Start],$A14,tblMonthlyActuals[Product_Category],$B14)</f>
        <v>131745.03000001574</v>
      </c>
      <c r="G14" s="15">
        <f t="shared" si="1"/>
        <v>34386.248400009747</v>
      </c>
      <c r="H14" s="13">
        <f t="shared" si="2"/>
        <v>0.35319103048437933</v>
      </c>
      <c r="I14" t="str">
        <f t="shared" si="3"/>
        <v>Above Budget</v>
      </c>
      <c r="J14" s="14">
        <f>E14*Assumptions!$I$8</f>
        <v>29207.634480001798</v>
      </c>
      <c r="K14" s="12">
        <f>SUMIFS(tblMonthlyActuals[Gross_Profit],tblMonthlyActuals[Month_Start],$A14,tblMonthlyActuals[Product_Category],$B14)</f>
        <v>35758</v>
      </c>
      <c r="L14" s="15">
        <f t="shared" si="4"/>
        <v>6550.3655199982022</v>
      </c>
    </row>
    <row r="15" spans="1:17" x14ac:dyDescent="0.3">
      <c r="A15" s="10">
        <f t="shared" si="5"/>
        <v>44958</v>
      </c>
      <c r="B15" t="str">
        <f>INDEX(tblCategoryTargets[Category],MOD(ROW()-7,5)+1)</f>
        <v>Sports &amp; Outdoors</v>
      </c>
      <c r="C15" s="11">
        <f>SUMIFS(tblMonthlyActuals[Sales_Revenue],tblMonthlyActuals[Month_Start],EDATE($A15,-12),tblMonthlyActuals[Product_Category],$B15)</f>
        <v>73338.490000000267</v>
      </c>
      <c r="D15" s="8">
        <f>IFERROR(INDEX(tblCategoryTargets[Budget Growth Target],MATCH(tblBudget[[#This Row],[Category]],tblCategoryTargets[Category],0)),0)</f>
        <v>0.08</v>
      </c>
      <c r="E15" s="11">
        <f t="shared" si="0"/>
        <v>79205.569200000289</v>
      </c>
      <c r="F15" s="12">
        <f>SUMIFS(tblMonthlyActuals[Sales_Revenue],tblMonthlyActuals[Month_Start],$A15,tblMonthlyActuals[Product_Category],$B15)</f>
        <v>85848.120000004681</v>
      </c>
      <c r="G15" s="15">
        <f t="shared" si="1"/>
        <v>6642.5508000043919</v>
      </c>
      <c r="H15" s="13">
        <f t="shared" si="2"/>
        <v>8.3864693696366593E-2</v>
      </c>
      <c r="I15" t="str">
        <f t="shared" si="3"/>
        <v>Above Budget</v>
      </c>
      <c r="J15" s="14">
        <f>E15*Assumptions!$I$8</f>
        <v>23761.670760000085</v>
      </c>
      <c r="K15" s="12">
        <f>SUMIFS(tblMonthlyActuals[Gross_Profit],tblMonthlyActuals[Month_Start],$A15,tblMonthlyActuals[Product_Category],$B15)</f>
        <v>21849</v>
      </c>
      <c r="L15" s="15">
        <f t="shared" si="4"/>
        <v>-1912.6707600000846</v>
      </c>
    </row>
    <row r="16" spans="1:17" x14ac:dyDescent="0.3">
      <c r="A16" s="10">
        <f t="shared" si="5"/>
        <v>44958</v>
      </c>
      <c r="B16" t="str">
        <f>INDEX(tblCategoryTargets[Category],MOD(ROW()-7,5)+1)</f>
        <v>Toys</v>
      </c>
      <c r="C16" s="11">
        <f>SUMIFS(tblMonthlyActuals[Sales_Revenue],tblMonthlyActuals[Month_Start],EDATE($A16,-12),tblMonthlyActuals[Product_Category],$B16)</f>
        <v>210629.99999998862</v>
      </c>
      <c r="D16" s="8">
        <f>IFERROR(INDEX(tblCategoryTargets[Budget Growth Target],MATCH(tblBudget[[#This Row],[Category]],tblCategoryTargets[Category],0)),0)</f>
        <v>0.08</v>
      </c>
      <c r="E16" s="11">
        <f t="shared" si="0"/>
        <v>227480.39999998771</v>
      </c>
      <c r="F16" s="12">
        <f>SUMIFS(tblMonthlyActuals[Sales_Revenue],tblMonthlyActuals[Month_Start],$A16,tblMonthlyActuals[Product_Category],$B16)</f>
        <v>218326.2499999805</v>
      </c>
      <c r="G16" s="15">
        <f t="shared" si="1"/>
        <v>-9154.1500000072119</v>
      </c>
      <c r="H16" s="13">
        <f t="shared" si="2"/>
        <v>-4.0241488937102741E-2</v>
      </c>
      <c r="I16" t="str">
        <f t="shared" si="3"/>
        <v>Below Budget</v>
      </c>
      <c r="J16" s="14">
        <f>E16*Assumptions!$I$8</f>
        <v>68244.119999996314</v>
      </c>
      <c r="K16" s="12">
        <f>SUMIFS(tblMonthlyActuals[Gross_Profit],tblMonthlyActuals[Month_Start],$A16,tblMonthlyActuals[Product_Category],$B16)</f>
        <v>42965</v>
      </c>
      <c r="L16" s="15">
        <f t="shared" si="4"/>
        <v>-25279.119999996314</v>
      </c>
    </row>
    <row r="17" spans="1:12" x14ac:dyDescent="0.3">
      <c r="A17" s="10">
        <f t="shared" si="5"/>
        <v>44986</v>
      </c>
      <c r="B17" t="str">
        <f>INDEX(tblCategoryTargets[Category],MOD(ROW()-7,5)+1)</f>
        <v>Art &amp; Crafts</v>
      </c>
      <c r="C17" s="11">
        <f>SUMIFS(tblMonthlyActuals[Sales_Revenue],tblMonthlyActuals[Month_Start],EDATE($A17,-12),tblMonthlyActuals[Product_Category],$B17)</f>
        <v>51700.709999998682</v>
      </c>
      <c r="D17" s="8">
        <f>IFERROR(INDEX(tblCategoryTargets[Budget Growth Target],MATCH(tblBudget[[#This Row],[Category]],tblCategoryTargets[Category],0)),0)</f>
        <v>0.08</v>
      </c>
      <c r="E17" s="11">
        <f t="shared" si="0"/>
        <v>55836.766799998579</v>
      </c>
      <c r="F17" s="12">
        <f>SUMIFS(tblMonthlyActuals[Sales_Revenue],tblMonthlyActuals[Month_Start],$A17,tblMonthlyActuals[Product_Category],$B17)</f>
        <v>205848.12999999645</v>
      </c>
      <c r="G17" s="15">
        <f t="shared" si="1"/>
        <v>150011.36319999787</v>
      </c>
      <c r="H17" s="13">
        <f t="shared" si="2"/>
        <v>2.6866054715761529</v>
      </c>
      <c r="I17" t="str">
        <f t="shared" si="3"/>
        <v>Above Budget</v>
      </c>
      <c r="J17" s="14">
        <f>E17*Assumptions!$I$8</f>
        <v>16751.030039999572</v>
      </c>
      <c r="K17" s="12">
        <f>SUMIFS(tblMonthlyActuals[Gross_Profit],tblMonthlyActuals[Month_Start],$A17,tblMonthlyActuals[Product_Category],$B17)</f>
        <v>56064</v>
      </c>
      <c r="L17" s="15">
        <f t="shared" si="4"/>
        <v>39312.969960000424</v>
      </c>
    </row>
    <row r="18" spans="1:12" x14ac:dyDescent="0.3">
      <c r="A18" s="10">
        <f t="shared" si="5"/>
        <v>44986</v>
      </c>
      <c r="B18" t="str">
        <f>INDEX(tblCategoryTargets[Category],MOD(ROW()-7,5)+1)</f>
        <v>Electronics</v>
      </c>
      <c r="C18" s="11">
        <f>SUMIFS(tblMonthlyActuals[Sales_Revenue],tblMonthlyActuals[Month_Start],EDATE($A18,-12),tblMonthlyActuals[Product_Category],$B18)</f>
        <v>133784.33000000942</v>
      </c>
      <c r="D18" s="8">
        <f>IFERROR(INDEX(tblCategoryTargets[Budget Growth Target],MATCH(tblBudget[[#This Row],[Category]],tblCategoryTargets[Category],0)),0)</f>
        <v>0.08</v>
      </c>
      <c r="E18" s="11">
        <f t="shared" si="0"/>
        <v>144487.07640001018</v>
      </c>
      <c r="F18" s="12">
        <f>SUMIFS(tblMonthlyActuals[Sales_Revenue],tblMonthlyActuals[Month_Start],$A18,tblMonthlyActuals[Product_Category],$B18)</f>
        <v>101111.66000000533</v>
      </c>
      <c r="G18" s="15">
        <f t="shared" si="1"/>
        <v>-43375.416400004848</v>
      </c>
      <c r="H18" s="13">
        <f t="shared" si="2"/>
        <v>-0.30020274117749257</v>
      </c>
      <c r="I18" t="str">
        <f t="shared" si="3"/>
        <v>Below Budget</v>
      </c>
      <c r="J18" s="14">
        <f>E18*Assumptions!$I$8</f>
        <v>43346.12292000305</v>
      </c>
      <c r="K18" s="12">
        <f>SUMIFS(tblMonthlyActuals[Gross_Profit],tblMonthlyActuals[Month_Start],$A18,tblMonthlyActuals[Product_Category],$B18)</f>
        <v>41181</v>
      </c>
      <c r="L18" s="15">
        <f t="shared" si="4"/>
        <v>-2165.1229200030502</v>
      </c>
    </row>
    <row r="19" spans="1:12" x14ac:dyDescent="0.3">
      <c r="A19" s="10">
        <f t="shared" si="5"/>
        <v>44986</v>
      </c>
      <c r="B19" t="str">
        <f>INDEX(tblCategoryTargets[Category],MOD(ROW()-7,5)+1)</f>
        <v>Games</v>
      </c>
      <c r="C19" s="11">
        <f>SUMIFS(tblMonthlyActuals[Sales_Revenue],tblMonthlyActuals[Month_Start],EDATE($A19,-12),tblMonthlyActuals[Product_Category],$B19)</f>
        <v>89526.550000005722</v>
      </c>
      <c r="D19" s="8">
        <f>IFERROR(INDEX(tblCategoryTargets[Budget Growth Target],MATCH(tblBudget[[#This Row],[Category]],tblCategoryTargets[Category],0)),0)</f>
        <v>0.08</v>
      </c>
      <c r="E19" s="11">
        <f t="shared" si="0"/>
        <v>96688.674000006184</v>
      </c>
      <c r="F19" s="12">
        <f>SUMIFS(tblMonthlyActuals[Sales_Revenue],tblMonthlyActuals[Month_Start],$A19,tblMonthlyActuals[Product_Category],$B19)</f>
        <v>131252.59000001845</v>
      </c>
      <c r="G19" s="15">
        <f t="shared" si="1"/>
        <v>34563.916000012265</v>
      </c>
      <c r="H19" s="13">
        <f t="shared" si="2"/>
        <v>0.35747636791471621</v>
      </c>
      <c r="I19" t="str">
        <f t="shared" si="3"/>
        <v>Above Budget</v>
      </c>
      <c r="J19" s="14">
        <f>E19*Assumptions!$I$8</f>
        <v>29006.602200001853</v>
      </c>
      <c r="K19" s="12">
        <f>SUMIFS(tblMonthlyActuals[Gross_Profit],tblMonthlyActuals[Month_Start],$A19,tblMonthlyActuals[Product_Category],$B19)</f>
        <v>40004</v>
      </c>
      <c r="L19" s="15">
        <f t="shared" si="4"/>
        <v>10997.397799998147</v>
      </c>
    </row>
    <row r="20" spans="1:12" x14ac:dyDescent="0.3">
      <c r="A20" s="10">
        <f t="shared" si="5"/>
        <v>44986</v>
      </c>
      <c r="B20" t="str">
        <f>INDEX(tblCategoryTargets[Category],MOD(ROW()-7,5)+1)</f>
        <v>Sports &amp; Outdoors</v>
      </c>
      <c r="C20" s="11">
        <f>SUMIFS(tblMonthlyActuals[Sales_Revenue],tblMonthlyActuals[Month_Start],EDATE($A20,-12),tblMonthlyActuals[Product_Category],$B20)</f>
        <v>76744.560000001205</v>
      </c>
      <c r="D20" s="8">
        <f>IFERROR(INDEX(tblCategoryTargets[Budget Growth Target],MATCH(tblBudget[[#This Row],[Category]],tblCategoryTargets[Category],0)),0)</f>
        <v>0.08</v>
      </c>
      <c r="E20" s="11">
        <f t="shared" si="0"/>
        <v>82884.1248000013</v>
      </c>
      <c r="F20" s="12">
        <f>SUMIFS(tblMonthlyActuals[Sales_Revenue],tblMonthlyActuals[Month_Start],$A20,tblMonthlyActuals[Product_Category],$B20)</f>
        <v>142103.43000000995</v>
      </c>
      <c r="G20" s="15">
        <f t="shared" si="1"/>
        <v>59219.305200008646</v>
      </c>
      <c r="H20" s="13">
        <f t="shared" si="2"/>
        <v>0.71448308518554471</v>
      </c>
      <c r="I20" t="str">
        <f t="shared" si="3"/>
        <v>Above Budget</v>
      </c>
      <c r="J20" s="14">
        <f>E20*Assumptions!$I$8</f>
        <v>24865.23744000039</v>
      </c>
      <c r="K20" s="12">
        <f>SUMIFS(tblMonthlyActuals[Gross_Profit],tblMonthlyActuals[Month_Start],$A20,tblMonthlyActuals[Product_Category],$B20)</f>
        <v>34682</v>
      </c>
      <c r="L20" s="15">
        <f t="shared" si="4"/>
        <v>9816.7625599996099</v>
      </c>
    </row>
    <row r="21" spans="1:12" x14ac:dyDescent="0.3">
      <c r="A21" s="10">
        <f t="shared" si="5"/>
        <v>44986</v>
      </c>
      <c r="B21" t="str">
        <f>INDEX(tblCategoryTargets[Category],MOD(ROW()-7,5)+1)</f>
        <v>Toys</v>
      </c>
      <c r="C21" s="11">
        <f>SUMIFS(tblMonthlyActuals[Sales_Revenue],tblMonthlyActuals[Month_Start],EDATE($A21,-12),tblMonthlyActuals[Product_Category],$B21)</f>
        <v>237729.03999997338</v>
      </c>
      <c r="D21" s="8">
        <f>IFERROR(INDEX(tblCategoryTargets[Budget Growth Target],MATCH(tblBudget[[#This Row],[Category]],tblCategoryTargets[Category],0)),0)</f>
        <v>0.08</v>
      </c>
      <c r="E21" s="11">
        <f t="shared" si="0"/>
        <v>256747.36319997127</v>
      </c>
      <c r="F21" s="12">
        <f>SUMIFS(tblMonthlyActuals[Sales_Revenue],tblMonthlyActuals[Month_Start],$A21,tblMonthlyActuals[Product_Category],$B21)</f>
        <v>303199.82999994984</v>
      </c>
      <c r="G21" s="15">
        <f t="shared" si="1"/>
        <v>46452.466799978574</v>
      </c>
      <c r="H21" s="13">
        <f t="shared" si="2"/>
        <v>0.18092675313591602</v>
      </c>
      <c r="I21" t="str">
        <f t="shared" si="3"/>
        <v>Above Budget</v>
      </c>
      <c r="J21" s="14">
        <f>E21*Assumptions!$I$8</f>
        <v>77024.208959991374</v>
      </c>
      <c r="K21" s="12">
        <f>SUMIFS(tblMonthlyActuals[Gross_Profit],tblMonthlyActuals[Month_Start],$A21,tblMonthlyActuals[Product_Category],$B21)</f>
        <v>59978</v>
      </c>
      <c r="L21" s="15">
        <f t="shared" si="4"/>
        <v>-17046.208959991374</v>
      </c>
    </row>
    <row r="22" spans="1:12" x14ac:dyDescent="0.3">
      <c r="A22" s="10">
        <f t="shared" si="5"/>
        <v>45017</v>
      </c>
      <c r="B22" t="str">
        <f>INDEX(tblCategoryTargets[Category],MOD(ROW()-7,5)+1)</f>
        <v>Art &amp; Crafts</v>
      </c>
      <c r="C22" s="11">
        <f>SUMIFS(tblMonthlyActuals[Sales_Revenue],tblMonthlyActuals[Month_Start],EDATE($A22,-12),tblMonthlyActuals[Product_Category],$B22)</f>
        <v>65344.039999997287</v>
      </c>
      <c r="D22" s="8">
        <f>IFERROR(INDEX(tblCategoryTargets[Budget Growth Target],MATCH(tblBudget[[#This Row],[Category]],tblCategoryTargets[Category],0)),0)</f>
        <v>0.08</v>
      </c>
      <c r="E22" s="11">
        <f t="shared" si="0"/>
        <v>70571.563199997079</v>
      </c>
      <c r="F22" s="12">
        <f>SUMIFS(tblMonthlyActuals[Sales_Revenue],tblMonthlyActuals[Month_Start],$A22,tblMonthlyActuals[Product_Category],$B22)</f>
        <v>230299.14999998437</v>
      </c>
      <c r="G22" s="15">
        <f t="shared" si="1"/>
        <v>159727.5867999873</v>
      </c>
      <c r="H22" s="13">
        <f t="shared" si="2"/>
        <v>2.2633420538996067</v>
      </c>
      <c r="I22" t="str">
        <f t="shared" si="3"/>
        <v>Above Budget</v>
      </c>
      <c r="J22" s="14">
        <f>E22*Assumptions!$I$8</f>
        <v>21171.468959999122</v>
      </c>
      <c r="K22" s="12">
        <f>SUMIFS(tblMonthlyActuals[Gross_Profit],tblMonthlyActuals[Month_Start],$A22,tblMonthlyActuals[Product_Category],$B22)</f>
        <v>57720</v>
      </c>
      <c r="L22" s="15">
        <f t="shared" si="4"/>
        <v>36548.531040000875</v>
      </c>
    </row>
    <row r="23" spans="1:12" x14ac:dyDescent="0.3">
      <c r="A23" s="10">
        <f t="shared" si="5"/>
        <v>45017</v>
      </c>
      <c r="B23" t="str">
        <f>INDEX(tblCategoryTargets[Category],MOD(ROW()-7,5)+1)</f>
        <v>Electronics</v>
      </c>
      <c r="C23" s="11">
        <f>SUMIFS(tblMonthlyActuals[Sales_Revenue],tblMonthlyActuals[Month_Start],EDATE($A23,-12),tblMonthlyActuals[Product_Category],$B23)</f>
        <v>128606.76000000973</v>
      </c>
      <c r="D23" s="8">
        <f>IFERROR(INDEX(tblCategoryTargets[Budget Growth Target],MATCH(tblBudget[[#This Row],[Category]],tblCategoryTargets[Category],0)),0)</f>
        <v>0.08</v>
      </c>
      <c r="E23" s="11">
        <f t="shared" si="0"/>
        <v>138895.3008000105</v>
      </c>
      <c r="F23" s="12">
        <f>SUMIFS(tblMonthlyActuals[Sales_Revenue],tblMonthlyActuals[Month_Start],$A23,tblMonthlyActuals[Product_Category],$B23)</f>
        <v>89174.16000000319</v>
      </c>
      <c r="G23" s="15">
        <f t="shared" si="1"/>
        <v>-49721.140800007313</v>
      </c>
      <c r="H23" s="13">
        <f t="shared" si="2"/>
        <v>-0.35797568754034875</v>
      </c>
      <c r="I23" t="str">
        <f t="shared" si="3"/>
        <v>Below Budget</v>
      </c>
      <c r="J23" s="14">
        <f>E23*Assumptions!$I$8</f>
        <v>41668.590240003148</v>
      </c>
      <c r="K23" s="12">
        <f>SUMIFS(tblMonthlyActuals[Gross_Profit],tblMonthlyActuals[Month_Start],$A23,tblMonthlyActuals[Product_Category],$B23)</f>
        <v>36707</v>
      </c>
      <c r="L23" s="15">
        <f t="shared" si="4"/>
        <v>-4961.5902400031482</v>
      </c>
    </row>
    <row r="24" spans="1:12" x14ac:dyDescent="0.3">
      <c r="A24" s="10">
        <f t="shared" si="5"/>
        <v>45017</v>
      </c>
      <c r="B24" t="str">
        <f>INDEX(tblCategoryTargets[Category],MOD(ROW()-7,5)+1)</f>
        <v>Games</v>
      </c>
      <c r="C24" s="11">
        <f>SUMIFS(tblMonthlyActuals[Sales_Revenue],tblMonthlyActuals[Month_Start],EDATE($A24,-12),tblMonthlyActuals[Product_Category],$B24)</f>
        <v>100164.09000000841</v>
      </c>
      <c r="D24" s="8">
        <f>IFERROR(INDEX(tblCategoryTargets[Budget Growth Target],MATCH(tblBudget[[#This Row],[Category]],tblCategoryTargets[Category],0)),0)</f>
        <v>0.08</v>
      </c>
      <c r="E24" s="11">
        <f t="shared" si="0"/>
        <v>108177.21720000909</v>
      </c>
      <c r="F24" s="12">
        <f>SUMIFS(tblMonthlyActuals[Sales_Revenue],tblMonthlyActuals[Month_Start],$A24,tblMonthlyActuals[Product_Category],$B24)</f>
        <v>121196.82000001574</v>
      </c>
      <c r="G24" s="15">
        <f t="shared" si="1"/>
        <v>13019.602800006644</v>
      </c>
      <c r="H24" s="13">
        <f t="shared" si="2"/>
        <v>0.12035438826212982</v>
      </c>
      <c r="I24" t="str">
        <f t="shared" si="3"/>
        <v>Above Budget</v>
      </c>
      <c r="J24" s="14">
        <f>E24*Assumptions!$I$8</f>
        <v>32453.165160002725</v>
      </c>
      <c r="K24" s="12">
        <f>SUMIFS(tblMonthlyActuals[Gross_Profit],tblMonthlyActuals[Month_Start],$A24,tblMonthlyActuals[Product_Category],$B24)</f>
        <v>38014</v>
      </c>
      <c r="L24" s="15">
        <f t="shared" si="4"/>
        <v>5560.8348399972747</v>
      </c>
    </row>
    <row r="25" spans="1:12" x14ac:dyDescent="0.3">
      <c r="A25" s="10">
        <f t="shared" si="5"/>
        <v>45017</v>
      </c>
      <c r="B25" t="str">
        <f>INDEX(tblCategoryTargets[Category],MOD(ROW()-7,5)+1)</f>
        <v>Sports &amp; Outdoors</v>
      </c>
      <c r="C25" s="11">
        <f>SUMIFS(tblMonthlyActuals[Sales_Revenue],tblMonthlyActuals[Month_Start],EDATE($A25,-12),tblMonthlyActuals[Product_Category],$B25)</f>
        <v>103733.18000000788</v>
      </c>
      <c r="D25" s="8">
        <f>IFERROR(INDEX(tblCategoryTargets[Budget Growth Target],MATCH(tblBudget[[#This Row],[Category]],tblCategoryTargets[Category],0)),0)</f>
        <v>0.08</v>
      </c>
      <c r="E25" s="11">
        <f t="shared" si="0"/>
        <v>112031.83440000852</v>
      </c>
      <c r="F25" s="12">
        <f>SUMIFS(tblMonthlyActuals[Sales_Revenue],tblMonthlyActuals[Month_Start],$A25,tblMonthlyActuals[Product_Category],$B25)</f>
        <v>129265.27000001448</v>
      </c>
      <c r="G25" s="15">
        <f t="shared" si="1"/>
        <v>17233.435600005963</v>
      </c>
      <c r="H25" s="13">
        <f t="shared" si="2"/>
        <v>0.15382623780374921</v>
      </c>
      <c r="I25" t="str">
        <f t="shared" si="3"/>
        <v>Above Budget</v>
      </c>
      <c r="J25" s="14">
        <f>E25*Assumptions!$I$8</f>
        <v>33609.550320002556</v>
      </c>
      <c r="K25" s="12">
        <f>SUMIFS(tblMonthlyActuals[Gross_Profit],tblMonthlyActuals[Month_Start],$A25,tblMonthlyActuals[Product_Category],$B25)</f>
        <v>30007</v>
      </c>
      <c r="L25" s="15">
        <f t="shared" si="4"/>
        <v>-3602.550320002556</v>
      </c>
    </row>
    <row r="26" spans="1:12" x14ac:dyDescent="0.3">
      <c r="A26" s="10">
        <f t="shared" si="5"/>
        <v>45017</v>
      </c>
      <c r="B26" t="str">
        <f>INDEX(tblCategoryTargets[Category],MOD(ROW()-7,5)+1)</f>
        <v>Toys</v>
      </c>
      <c r="C26" s="11">
        <f>SUMIFS(tblMonthlyActuals[Sales_Revenue],tblMonthlyActuals[Month_Start],EDATE($A26,-12),tblMonthlyActuals[Product_Category],$B26)</f>
        <v>283224.90999996359</v>
      </c>
      <c r="D26" s="8">
        <f>IFERROR(INDEX(tblCategoryTargets[Budget Growth Target],MATCH(tblBudget[[#This Row],[Category]],tblCategoryTargets[Category],0)),0)</f>
        <v>0.08</v>
      </c>
      <c r="E26" s="11">
        <f t="shared" si="0"/>
        <v>305882.90279996069</v>
      </c>
      <c r="F26" s="12">
        <f>SUMIFS(tblMonthlyActuals[Sales_Revenue],tblMonthlyActuals[Month_Start],$A26,tblMonthlyActuals[Product_Category],$B26)</f>
        <v>257755.66999997164</v>
      </c>
      <c r="G26" s="15">
        <f t="shared" si="1"/>
        <v>-48127.232799989055</v>
      </c>
      <c r="H26" s="13">
        <f t="shared" si="2"/>
        <v>-0.15733874747312368</v>
      </c>
      <c r="I26" t="str">
        <f t="shared" si="3"/>
        <v>Below Budget</v>
      </c>
      <c r="J26" s="14">
        <f>E26*Assumptions!$I$8</f>
        <v>91764.870839988202</v>
      </c>
      <c r="K26" s="12">
        <f>SUMIFS(tblMonthlyActuals[Gross_Profit],tblMonthlyActuals[Month_Start],$A26,tblMonthlyActuals[Product_Category],$B26)</f>
        <v>52648</v>
      </c>
      <c r="L26" s="15">
        <f t="shared" si="4"/>
        <v>-39116.870839988202</v>
      </c>
    </row>
    <row r="27" spans="1:12" x14ac:dyDescent="0.3">
      <c r="A27" s="10">
        <f t="shared" si="5"/>
        <v>45047</v>
      </c>
      <c r="B27" t="str">
        <f>INDEX(tblCategoryTargets[Category],MOD(ROW()-7,5)+1)</f>
        <v>Art &amp; Crafts</v>
      </c>
      <c r="C27" s="11">
        <f>SUMIFS(tblMonthlyActuals[Sales_Revenue],tblMonthlyActuals[Month_Start],EDATE($A27,-12),tblMonthlyActuals[Product_Category],$B27)</f>
        <v>70988.869999999792</v>
      </c>
      <c r="D27" s="8">
        <f>IFERROR(INDEX(tblCategoryTargets[Budget Growth Target],MATCH(tblBudget[[#This Row],[Category]],tblCategoryTargets[Category],0)),0)</f>
        <v>0.08</v>
      </c>
      <c r="E27" s="11">
        <f t="shared" si="0"/>
        <v>76667.979599999773</v>
      </c>
      <c r="F27" s="12">
        <f>SUMIFS(tblMonthlyActuals[Sales_Revenue],tblMonthlyActuals[Month_Start],$A27,tblMonthlyActuals[Product_Category],$B27)</f>
        <v>226843.86999997578</v>
      </c>
      <c r="G27" s="15">
        <f t="shared" si="1"/>
        <v>150175.89039997599</v>
      </c>
      <c r="H27" s="13">
        <f t="shared" si="2"/>
        <v>1.9587824171641068</v>
      </c>
      <c r="I27" t="str">
        <f t="shared" si="3"/>
        <v>Above Budget</v>
      </c>
      <c r="J27" s="14">
        <f>E27*Assumptions!$I$8</f>
        <v>23000.393879999931</v>
      </c>
      <c r="K27" s="12">
        <f>SUMIFS(tblMonthlyActuals[Gross_Profit],tblMonthlyActuals[Month_Start],$A27,tblMonthlyActuals[Product_Category],$B27)</f>
        <v>56475</v>
      </c>
      <c r="L27" s="15">
        <f t="shared" si="4"/>
        <v>33474.606120000069</v>
      </c>
    </row>
    <row r="28" spans="1:12" x14ac:dyDescent="0.3">
      <c r="A28" s="10">
        <f t="shared" si="5"/>
        <v>45047</v>
      </c>
      <c r="B28" t="str">
        <f>INDEX(tblCategoryTargets[Category],MOD(ROW()-7,5)+1)</f>
        <v>Electronics</v>
      </c>
      <c r="C28" s="11">
        <f>SUMIFS(tblMonthlyActuals[Sales_Revenue],tblMonthlyActuals[Month_Start],EDATE($A28,-12),tblMonthlyActuals[Product_Category],$B28)</f>
        <v>118107.04000000848</v>
      </c>
      <c r="D28" s="8">
        <f>IFERROR(INDEX(tblCategoryTargets[Budget Growth Target],MATCH(tblBudget[[#This Row],[Category]],tblCategoryTargets[Category],0)),0)</f>
        <v>0.08</v>
      </c>
      <c r="E28" s="11">
        <f t="shared" si="0"/>
        <v>127555.60320000917</v>
      </c>
      <c r="F28" s="12">
        <f>SUMIFS(tblMonthlyActuals[Sales_Revenue],tblMonthlyActuals[Month_Start],$A28,tblMonthlyActuals[Product_Category],$B28)</f>
        <v>83904.190000002432</v>
      </c>
      <c r="G28" s="15">
        <f t="shared" si="1"/>
        <v>-43651.413200006733</v>
      </c>
      <c r="H28" s="13">
        <f t="shared" si="2"/>
        <v>-0.34221478402293815</v>
      </c>
      <c r="I28" t="str">
        <f t="shared" si="3"/>
        <v>Below Budget</v>
      </c>
      <c r="J28" s="14">
        <f>E28*Assumptions!$I$8</f>
        <v>38266.680960002748</v>
      </c>
      <c r="K28" s="12">
        <f>SUMIFS(tblMonthlyActuals[Gross_Profit],tblMonthlyActuals[Month_Start],$A28,tblMonthlyActuals[Product_Category],$B28)</f>
        <v>33192</v>
      </c>
      <c r="L28" s="15">
        <f t="shared" si="4"/>
        <v>-5074.6809600027482</v>
      </c>
    </row>
    <row r="29" spans="1:12" x14ac:dyDescent="0.3">
      <c r="A29" s="10">
        <f t="shared" si="5"/>
        <v>45047</v>
      </c>
      <c r="B29" t="str">
        <f>INDEX(tblCategoryTargets[Category],MOD(ROW()-7,5)+1)</f>
        <v>Games</v>
      </c>
      <c r="C29" s="11">
        <f>SUMIFS(tblMonthlyActuals[Sales_Revenue],tblMonthlyActuals[Month_Start],EDATE($A29,-12),tblMonthlyActuals[Product_Category],$B29)</f>
        <v>89197.610000005414</v>
      </c>
      <c r="D29" s="8">
        <f>IFERROR(INDEX(tblCategoryTargets[Budget Growth Target],MATCH(tblBudget[[#This Row],[Category]],tblCategoryTargets[Category],0)),0)</f>
        <v>0.08</v>
      </c>
      <c r="E29" s="11">
        <f t="shared" si="0"/>
        <v>96333.418800005849</v>
      </c>
      <c r="F29" s="12">
        <f>SUMIFS(tblMonthlyActuals[Sales_Revenue],tblMonthlyActuals[Month_Start],$A29,tblMonthlyActuals[Product_Category],$B29)</f>
        <v>108814.29000001078</v>
      </c>
      <c r="G29" s="15">
        <f t="shared" si="1"/>
        <v>12480.871200004927</v>
      </c>
      <c r="H29" s="13">
        <f t="shared" si="2"/>
        <v>0.12955910166456347</v>
      </c>
      <c r="I29" t="str">
        <f t="shared" si="3"/>
        <v>Above Budget</v>
      </c>
      <c r="J29" s="14">
        <f>E29*Assumptions!$I$8</f>
        <v>28900.025640001753</v>
      </c>
      <c r="K29" s="12">
        <f>SUMIFS(tblMonthlyActuals[Gross_Profit],tblMonthlyActuals[Month_Start],$A29,tblMonthlyActuals[Product_Category],$B29)</f>
        <v>31726</v>
      </c>
      <c r="L29" s="15">
        <f t="shared" si="4"/>
        <v>2825.9743599982467</v>
      </c>
    </row>
    <row r="30" spans="1:12" x14ac:dyDescent="0.3">
      <c r="A30" s="10">
        <f t="shared" si="5"/>
        <v>45047</v>
      </c>
      <c r="B30" t="str">
        <f>INDEX(tblCategoryTargets[Category],MOD(ROW()-7,5)+1)</f>
        <v>Sports &amp; Outdoors</v>
      </c>
      <c r="C30" s="11">
        <f>SUMIFS(tblMonthlyActuals[Sales_Revenue],tblMonthlyActuals[Month_Start],EDATE($A30,-12),tblMonthlyActuals[Product_Category],$B30)</f>
        <v>94460.830000006827</v>
      </c>
      <c r="D30" s="8">
        <f>IFERROR(INDEX(tblCategoryTargets[Budget Growth Target],MATCH(tblBudget[[#This Row],[Category]],tblCategoryTargets[Category],0)),0)</f>
        <v>0.08</v>
      </c>
      <c r="E30" s="11">
        <f t="shared" si="0"/>
        <v>102017.69640000738</v>
      </c>
      <c r="F30" s="12">
        <f>SUMIFS(tblMonthlyActuals[Sales_Revenue],tblMonthlyActuals[Month_Start],$A30,tblMonthlyActuals[Product_Category],$B30)</f>
        <v>137381.7900000129</v>
      </c>
      <c r="G30" s="15">
        <f t="shared" si="1"/>
        <v>35364.093600005523</v>
      </c>
      <c r="H30" s="13">
        <f t="shared" si="2"/>
        <v>0.34664665884381768</v>
      </c>
      <c r="I30" t="str">
        <f t="shared" si="3"/>
        <v>Above Budget</v>
      </c>
      <c r="J30" s="14">
        <f>E30*Assumptions!$I$8</f>
        <v>30605.308920002211</v>
      </c>
      <c r="K30" s="12">
        <f>SUMIFS(tblMonthlyActuals[Gross_Profit],tblMonthlyActuals[Month_Start],$A30,tblMonthlyActuals[Product_Category],$B30)</f>
        <v>32552</v>
      </c>
      <c r="L30" s="15">
        <f t="shared" si="4"/>
        <v>1946.6910799977886</v>
      </c>
    </row>
    <row r="31" spans="1:12" x14ac:dyDescent="0.3">
      <c r="A31" s="10">
        <f t="shared" si="5"/>
        <v>45047</v>
      </c>
      <c r="B31" t="str">
        <f>INDEX(tblCategoryTargets[Category],MOD(ROW()-7,5)+1)</f>
        <v>Toys</v>
      </c>
      <c r="C31" s="11">
        <f>SUMIFS(tblMonthlyActuals[Sales_Revenue],tblMonthlyActuals[Month_Start],EDATE($A31,-12),tblMonthlyActuals[Product_Category],$B31)</f>
        <v>299615.54999994906</v>
      </c>
      <c r="D31" s="8">
        <f>IFERROR(INDEX(tblCategoryTargets[Budget Growth Target],MATCH(tblBudget[[#This Row],[Category]],tblCategoryTargets[Category],0)),0)</f>
        <v>0.08</v>
      </c>
      <c r="E31" s="11">
        <f t="shared" si="0"/>
        <v>323584.79399994499</v>
      </c>
      <c r="F31" s="12">
        <f>SUMIFS(tblMonthlyActuals[Sales_Revenue],tblMonthlyActuals[Month_Start],$A31,tblMonthlyActuals[Product_Category],$B31)</f>
        <v>268375.34999996051</v>
      </c>
      <c r="G31" s="15">
        <f t="shared" si="1"/>
        <v>-55209.443999984476</v>
      </c>
      <c r="H31" s="13">
        <f t="shared" si="2"/>
        <v>-0.17061816569784136</v>
      </c>
      <c r="I31" t="str">
        <f t="shared" si="3"/>
        <v>Below Budget</v>
      </c>
      <c r="J31" s="14">
        <f>E31*Assumptions!$I$8</f>
        <v>97075.438199983488</v>
      </c>
      <c r="K31" s="12">
        <f>SUMIFS(tblMonthlyActuals[Gross_Profit],tblMonthlyActuals[Month_Start],$A31,tblMonthlyActuals[Product_Category],$B31)</f>
        <v>56402</v>
      </c>
      <c r="L31" s="15">
        <f t="shared" si="4"/>
        <v>-40673.438199983488</v>
      </c>
    </row>
    <row r="32" spans="1:12" x14ac:dyDescent="0.3">
      <c r="A32" s="10">
        <f t="shared" si="5"/>
        <v>45078</v>
      </c>
      <c r="B32" t="str">
        <f>INDEX(tblCategoryTargets[Category],MOD(ROW()-7,5)+1)</f>
        <v>Art &amp; Crafts</v>
      </c>
      <c r="C32" s="11">
        <f>SUMIFS(tblMonthlyActuals[Sales_Revenue],tblMonthlyActuals[Month_Start],EDATE($A32,-12),tblMonthlyActuals[Product_Category],$B32)</f>
        <v>63056.119999997871</v>
      </c>
      <c r="D32" s="8">
        <f>IFERROR(INDEX(tblCategoryTargets[Budget Growth Target],MATCH(tblBudget[[#This Row],[Category]],tblCategoryTargets[Category],0)),0)</f>
        <v>0.08</v>
      </c>
      <c r="E32" s="11">
        <f t="shared" si="0"/>
        <v>68100.609599997711</v>
      </c>
      <c r="F32" s="12">
        <f>SUMIFS(tblMonthlyActuals[Sales_Revenue],tblMonthlyActuals[Month_Start],$A32,tblMonthlyActuals[Product_Category],$B32)</f>
        <v>202725.6599999833</v>
      </c>
      <c r="G32" s="15">
        <f t="shared" si="1"/>
        <v>134625.05039998557</v>
      </c>
      <c r="H32" s="13">
        <f t="shared" si="2"/>
        <v>1.9768552908811274</v>
      </c>
      <c r="I32" t="str">
        <f t="shared" si="3"/>
        <v>Above Budget</v>
      </c>
      <c r="J32" s="14">
        <f>E32*Assumptions!$I$8</f>
        <v>20430.182879999313</v>
      </c>
      <c r="K32" s="12">
        <f>SUMIFS(tblMonthlyActuals[Gross_Profit],tblMonthlyActuals[Month_Start],$A32,tblMonthlyActuals[Product_Category],$B32)</f>
        <v>50501</v>
      </c>
      <c r="L32" s="15">
        <f t="shared" si="4"/>
        <v>30070.817120000687</v>
      </c>
    </row>
    <row r="33" spans="1:12" x14ac:dyDescent="0.3">
      <c r="A33" s="10">
        <f t="shared" si="5"/>
        <v>45078</v>
      </c>
      <c r="B33" t="str">
        <f>INDEX(tblCategoryTargets[Category],MOD(ROW()-7,5)+1)</f>
        <v>Electronics</v>
      </c>
      <c r="C33" s="11">
        <f>SUMIFS(tblMonthlyActuals[Sales_Revenue],tblMonthlyActuals[Month_Start],EDATE($A33,-12),tblMonthlyActuals[Product_Category],$B33)</f>
        <v>116003.83000000712</v>
      </c>
      <c r="D33" s="8">
        <f>IFERROR(INDEX(tblCategoryTargets[Budget Growth Target],MATCH(tblBudget[[#This Row],[Category]],tblCategoryTargets[Category],0)),0)</f>
        <v>0.08</v>
      </c>
      <c r="E33" s="11">
        <f t="shared" si="0"/>
        <v>125284.1364000077</v>
      </c>
      <c r="F33" s="12">
        <f>SUMIFS(tblMonthlyActuals[Sales_Revenue],tblMonthlyActuals[Month_Start],$A33,tblMonthlyActuals[Product_Category],$B33)</f>
        <v>84604.340000003271</v>
      </c>
      <c r="G33" s="15">
        <f t="shared" si="1"/>
        <v>-40679.79640000443</v>
      </c>
      <c r="H33" s="13">
        <f t="shared" si="2"/>
        <v>-0.3247002978104252</v>
      </c>
      <c r="I33" t="str">
        <f t="shared" si="3"/>
        <v>Below Budget</v>
      </c>
      <c r="J33" s="14">
        <f>E33*Assumptions!$I$8</f>
        <v>37585.24092000231</v>
      </c>
      <c r="K33" s="12">
        <f>SUMIFS(tblMonthlyActuals[Gross_Profit],tblMonthlyActuals[Month_Start],$A33,tblMonthlyActuals[Product_Category],$B33)</f>
        <v>34138</v>
      </c>
      <c r="L33" s="15">
        <f t="shared" si="4"/>
        <v>-3447.2409200023103</v>
      </c>
    </row>
    <row r="34" spans="1:12" x14ac:dyDescent="0.3">
      <c r="A34" s="10">
        <f t="shared" si="5"/>
        <v>45078</v>
      </c>
      <c r="B34" t="str">
        <f>INDEX(tblCategoryTargets[Category],MOD(ROW()-7,5)+1)</f>
        <v>Games</v>
      </c>
      <c r="C34" s="11">
        <f>SUMIFS(tblMonthlyActuals[Sales_Revenue],tblMonthlyActuals[Month_Start],EDATE($A34,-12),tblMonthlyActuals[Product_Category],$B34)</f>
        <v>102313.72000001013</v>
      </c>
      <c r="D34" s="8">
        <f>IFERROR(INDEX(tblCategoryTargets[Budget Growth Target],MATCH(tblBudget[[#This Row],[Category]],tblCategoryTargets[Category],0)),0)</f>
        <v>0.08</v>
      </c>
      <c r="E34" s="11">
        <f t="shared" si="0"/>
        <v>110498.81760001095</v>
      </c>
      <c r="F34" s="12">
        <f>SUMIFS(tblMonthlyActuals[Sales_Revenue],tblMonthlyActuals[Month_Start],$A34,tblMonthlyActuals[Product_Category],$B34)</f>
        <v>99193.830000009344</v>
      </c>
      <c r="G34" s="15">
        <f t="shared" si="1"/>
        <v>-11304.987600001608</v>
      </c>
      <c r="H34" s="13">
        <f t="shared" si="2"/>
        <v>-0.10230867483961645</v>
      </c>
      <c r="I34" t="str">
        <f t="shared" si="3"/>
        <v>Below Budget</v>
      </c>
      <c r="J34" s="14">
        <f>E34*Assumptions!$I$8</f>
        <v>33149.645280003286</v>
      </c>
      <c r="K34" s="12">
        <f>SUMIFS(tblMonthlyActuals[Gross_Profit],tblMonthlyActuals[Month_Start],$A34,tblMonthlyActuals[Product_Category],$B34)</f>
        <v>31197</v>
      </c>
      <c r="L34" s="15">
        <f t="shared" si="4"/>
        <v>-1952.6452800032857</v>
      </c>
    </row>
    <row r="35" spans="1:12" x14ac:dyDescent="0.3">
      <c r="A35" s="10">
        <f t="shared" si="5"/>
        <v>45078</v>
      </c>
      <c r="B35" t="str">
        <f>INDEX(tblCategoryTargets[Category],MOD(ROW()-7,5)+1)</f>
        <v>Sports &amp; Outdoors</v>
      </c>
      <c r="C35" s="11">
        <f>SUMIFS(tblMonthlyActuals[Sales_Revenue],tblMonthlyActuals[Month_Start],EDATE($A35,-12),tblMonthlyActuals[Product_Category],$B35)</f>
        <v>120866.55000001031</v>
      </c>
      <c r="D35" s="8">
        <f>IFERROR(INDEX(tblCategoryTargets[Budget Growth Target],MATCH(tblBudget[[#This Row],[Category]],tblCategoryTargets[Category],0)),0)</f>
        <v>0.08</v>
      </c>
      <c r="E35" s="11">
        <f t="shared" si="0"/>
        <v>130535.87400001114</v>
      </c>
      <c r="F35" s="12">
        <f>SUMIFS(tblMonthlyActuals[Sales_Revenue],tblMonthlyActuals[Month_Start],$A35,tblMonthlyActuals[Product_Category],$B35)</f>
        <v>129626.73000001488</v>
      </c>
      <c r="G35" s="15">
        <f t="shared" si="1"/>
        <v>-909.14399999626039</v>
      </c>
      <c r="H35" s="13">
        <f t="shared" si="2"/>
        <v>-6.9647061159308805E-3</v>
      </c>
      <c r="I35" t="str">
        <f t="shared" si="3"/>
        <v>Below Budget</v>
      </c>
      <c r="J35" s="14">
        <f>E35*Assumptions!$I$8</f>
        <v>39160.762200003344</v>
      </c>
      <c r="K35" s="12">
        <f>SUMIFS(tblMonthlyActuals[Gross_Profit],tblMonthlyActuals[Month_Start],$A35,tblMonthlyActuals[Product_Category],$B35)</f>
        <v>29005</v>
      </c>
      <c r="L35" s="15">
        <f t="shared" si="4"/>
        <v>-10155.762200003344</v>
      </c>
    </row>
    <row r="36" spans="1:12" x14ac:dyDescent="0.3">
      <c r="A36" s="10">
        <f t="shared" si="5"/>
        <v>45078</v>
      </c>
      <c r="B36" t="str">
        <f>INDEX(tblCategoryTargets[Category],MOD(ROW()-7,5)+1)</f>
        <v>Toys</v>
      </c>
      <c r="C36" s="11">
        <f>SUMIFS(tblMonthlyActuals[Sales_Revenue],tblMonthlyActuals[Month_Start],EDATE($A36,-12),tblMonthlyActuals[Product_Category],$B36)</f>
        <v>259739.99999996679</v>
      </c>
      <c r="D36" s="8">
        <f>IFERROR(INDEX(tblCategoryTargets[Budget Growth Target],MATCH(tblBudget[[#This Row],[Category]],tblCategoryTargets[Category],0)),0)</f>
        <v>0.08</v>
      </c>
      <c r="E36" s="11">
        <f t="shared" si="0"/>
        <v>280519.19999996416</v>
      </c>
      <c r="F36" s="12">
        <f>SUMIFS(tblMonthlyActuals[Sales_Revenue],tblMonthlyActuals[Month_Start],$A36,tblMonthlyActuals[Product_Category],$B36)</f>
        <v>292148.6899999525</v>
      </c>
      <c r="G36" s="15">
        <f t="shared" si="1"/>
        <v>11629.489999988349</v>
      </c>
      <c r="H36" s="13">
        <f t="shared" si="2"/>
        <v>4.1457019697724203E-2</v>
      </c>
      <c r="I36" t="str">
        <f t="shared" si="3"/>
        <v>Above Budget</v>
      </c>
      <c r="J36" s="14">
        <f>E36*Assumptions!$I$8</f>
        <v>84155.759999989241</v>
      </c>
      <c r="K36" s="12">
        <f>SUMIFS(tblMonthlyActuals[Gross_Profit],tblMonthlyActuals[Month_Start],$A36,tblMonthlyActuals[Product_Category],$B36)</f>
        <v>62371</v>
      </c>
      <c r="L36" s="15">
        <f t="shared" si="4"/>
        <v>-21784.759999989241</v>
      </c>
    </row>
    <row r="37" spans="1:12" x14ac:dyDescent="0.3">
      <c r="A37" s="10">
        <f t="shared" si="5"/>
        <v>45108</v>
      </c>
      <c r="B37" t="str">
        <f>INDEX(tblCategoryTargets[Category],MOD(ROW()-7,5)+1)</f>
        <v>Art &amp; Crafts</v>
      </c>
      <c r="C37" s="11">
        <f>SUMIFS(tblMonthlyActuals[Sales_Revenue],tblMonthlyActuals[Month_Start],EDATE($A37,-12),tblMonthlyActuals[Product_Category],$B37)</f>
        <v>65651.499999998108</v>
      </c>
      <c r="D37" s="8">
        <f>IFERROR(INDEX(tblCategoryTargets[Budget Growth Target],MATCH(tblBudget[[#This Row],[Category]],tblCategoryTargets[Category],0)),0)</f>
        <v>0.08</v>
      </c>
      <c r="E37" s="11">
        <f t="shared" si="0"/>
        <v>70903.619999997958</v>
      </c>
      <c r="F37" s="12">
        <f>SUMIFS(tblMonthlyActuals[Sales_Revenue],tblMonthlyActuals[Month_Start],$A37,tblMonthlyActuals[Product_Category],$B37)</f>
        <v>206862.97999998141</v>
      </c>
      <c r="G37" s="15">
        <f t="shared" si="1"/>
        <v>135959.35999998346</v>
      </c>
      <c r="H37" s="13">
        <f t="shared" si="2"/>
        <v>1.9175235340591548</v>
      </c>
      <c r="I37" t="str">
        <f t="shared" si="3"/>
        <v>Above Budget</v>
      </c>
      <c r="J37" s="14">
        <f>E37*Assumptions!$I$8</f>
        <v>21271.085999999388</v>
      </c>
      <c r="K37" s="12">
        <f>SUMIFS(tblMonthlyActuals[Gross_Profit],tblMonthlyActuals[Month_Start],$A37,tblMonthlyActuals[Product_Category],$B37)</f>
        <v>54800</v>
      </c>
      <c r="L37" s="15">
        <f t="shared" si="4"/>
        <v>33528.914000000615</v>
      </c>
    </row>
    <row r="38" spans="1:12" x14ac:dyDescent="0.3">
      <c r="A38" s="10">
        <f t="shared" si="5"/>
        <v>45108</v>
      </c>
      <c r="B38" t="str">
        <f>INDEX(tblCategoryTargets[Category],MOD(ROW()-7,5)+1)</f>
        <v>Electronics</v>
      </c>
      <c r="C38" s="11">
        <f>SUMIFS(tblMonthlyActuals[Sales_Revenue],tblMonthlyActuals[Month_Start],EDATE($A38,-12),tblMonthlyActuals[Product_Category],$B38)</f>
        <v>114622.89000000834</v>
      </c>
      <c r="D38" s="8">
        <f>IFERROR(INDEX(tblCategoryTargets[Budget Growth Target],MATCH(tblBudget[[#This Row],[Category]],tblCategoryTargets[Category],0)),0)</f>
        <v>0.08</v>
      </c>
      <c r="E38" s="11">
        <f t="shared" si="0"/>
        <v>123792.72120000901</v>
      </c>
      <c r="F38" s="12">
        <f>SUMIFS(tblMonthlyActuals[Sales_Revenue],tblMonthlyActuals[Month_Start],$A38,tblMonthlyActuals[Product_Category],$B38)</f>
        <v>88597.150000003166</v>
      </c>
      <c r="G38" s="15">
        <f t="shared" si="1"/>
        <v>-35195.571200005841</v>
      </c>
      <c r="H38" s="13">
        <f t="shared" si="2"/>
        <v>-0.28431050597184288</v>
      </c>
      <c r="I38" t="str">
        <f t="shared" si="3"/>
        <v>Below Budget</v>
      </c>
      <c r="J38" s="14">
        <f>E38*Assumptions!$I$8</f>
        <v>37137.816360002704</v>
      </c>
      <c r="K38" s="12">
        <f>SUMIFS(tblMonthlyActuals[Gross_Profit],tblMonthlyActuals[Month_Start],$A38,tblMonthlyActuals[Product_Category],$B38)</f>
        <v>36967</v>
      </c>
      <c r="L38" s="15">
        <f t="shared" si="4"/>
        <v>-170.81636000270373</v>
      </c>
    </row>
    <row r="39" spans="1:12" x14ac:dyDescent="0.3">
      <c r="A39" s="10">
        <f t="shared" si="5"/>
        <v>45108</v>
      </c>
      <c r="B39" t="str">
        <f>INDEX(tblCategoryTargets[Category],MOD(ROW()-7,5)+1)</f>
        <v>Games</v>
      </c>
      <c r="C39" s="11">
        <f>SUMIFS(tblMonthlyActuals[Sales_Revenue],tblMonthlyActuals[Month_Start],EDATE($A39,-12),tblMonthlyActuals[Product_Category],$B39)</f>
        <v>99782.210000009116</v>
      </c>
      <c r="D39" s="8">
        <f>IFERROR(INDEX(tblCategoryTargets[Budget Growth Target],MATCH(tblBudget[[#This Row],[Category]],tblCategoryTargets[Category],0)),0)</f>
        <v>0.08</v>
      </c>
      <c r="E39" s="11">
        <f t="shared" si="0"/>
        <v>107764.78680000985</v>
      </c>
      <c r="F39" s="12">
        <f>SUMIFS(tblMonthlyActuals[Sales_Revenue],tblMonthlyActuals[Month_Start],$A39,tblMonthlyActuals[Product_Category],$B39)</f>
        <v>107272.58000001122</v>
      </c>
      <c r="G39" s="15">
        <f t="shared" si="1"/>
        <v>-492.20679999863205</v>
      </c>
      <c r="H39" s="13">
        <f t="shared" si="2"/>
        <v>-4.5674177494738665E-3</v>
      </c>
      <c r="I39" t="str">
        <f t="shared" si="3"/>
        <v>Below Budget</v>
      </c>
      <c r="J39" s="14">
        <f>E39*Assumptions!$I$8</f>
        <v>32329.436040002955</v>
      </c>
      <c r="K39" s="12">
        <f>SUMIFS(tblMonthlyActuals[Gross_Profit],tblMonthlyActuals[Month_Start],$A39,tblMonthlyActuals[Product_Category],$B39)</f>
        <v>31956</v>
      </c>
      <c r="L39" s="15">
        <f t="shared" si="4"/>
        <v>-373.43604000295454</v>
      </c>
    </row>
    <row r="40" spans="1:12" x14ac:dyDescent="0.3">
      <c r="A40" s="10">
        <f t="shared" si="5"/>
        <v>45108</v>
      </c>
      <c r="B40" t="str">
        <f>INDEX(tblCategoryTargets[Category],MOD(ROW()-7,5)+1)</f>
        <v>Sports &amp; Outdoors</v>
      </c>
      <c r="C40" s="11">
        <f>SUMIFS(tblMonthlyActuals[Sales_Revenue],tblMonthlyActuals[Month_Start],EDATE($A40,-12),tblMonthlyActuals[Product_Category],$B40)</f>
        <v>129568.59000001199</v>
      </c>
      <c r="D40" s="8">
        <f>IFERROR(INDEX(tblCategoryTargets[Budget Growth Target],MATCH(tblBudget[[#This Row],[Category]],tblCategoryTargets[Category],0)),0)</f>
        <v>0.08</v>
      </c>
      <c r="E40" s="11">
        <f t="shared" si="0"/>
        <v>139934.07720001295</v>
      </c>
      <c r="F40" s="12">
        <f>SUMIFS(tblMonthlyActuals[Sales_Revenue],tblMonthlyActuals[Month_Start],$A40,tblMonthlyActuals[Product_Category],$B40)</f>
        <v>128931.17000001478</v>
      </c>
      <c r="G40" s="15">
        <f t="shared" si="1"/>
        <v>-11002.907199998168</v>
      </c>
      <c r="H40" s="13">
        <f t="shared" si="2"/>
        <v>-7.8629218987675928E-2</v>
      </c>
      <c r="I40" t="str">
        <f t="shared" si="3"/>
        <v>Below Budget</v>
      </c>
      <c r="J40" s="14">
        <f>E40*Assumptions!$I$8</f>
        <v>41980.223160003887</v>
      </c>
      <c r="K40" s="12">
        <f>SUMIFS(tblMonthlyActuals[Gross_Profit],tblMonthlyActuals[Month_Start],$A40,tblMonthlyActuals[Product_Category],$B40)</f>
        <v>28823</v>
      </c>
      <c r="L40" s="15">
        <f t="shared" si="4"/>
        <v>-13157.223160003887</v>
      </c>
    </row>
    <row r="41" spans="1:12" x14ac:dyDescent="0.3">
      <c r="A41" s="10">
        <f t="shared" si="5"/>
        <v>45108</v>
      </c>
      <c r="B41" t="str">
        <f>INDEX(tblCategoryTargets[Category],MOD(ROW()-7,5)+1)</f>
        <v>Toys</v>
      </c>
      <c r="C41" s="11">
        <f>SUMIFS(tblMonthlyActuals[Sales_Revenue],tblMonthlyActuals[Month_Start],EDATE($A41,-12),tblMonthlyActuals[Product_Category],$B41)</f>
        <v>146409.0400000092</v>
      </c>
      <c r="D41" s="8">
        <f>IFERROR(INDEX(tblCategoryTargets[Budget Growth Target],MATCH(tblBudget[[#This Row],[Category]],tblCategoryTargets[Category],0)),0)</f>
        <v>0.08</v>
      </c>
      <c r="E41" s="11">
        <f t="shared" si="0"/>
        <v>158121.76320000994</v>
      </c>
      <c r="F41" s="12">
        <f>SUMIFS(tblMonthlyActuals[Sales_Revenue],tblMonthlyActuals[Month_Start],$A41,tblMonthlyActuals[Product_Category],$B41)</f>
        <v>296684.97999995382</v>
      </c>
      <c r="G41" s="15">
        <f t="shared" si="1"/>
        <v>138563.21679994388</v>
      </c>
      <c r="H41" s="13">
        <f t="shared" si="2"/>
        <v>0.87630705600388326</v>
      </c>
      <c r="I41" t="str">
        <f t="shared" si="3"/>
        <v>Above Budget</v>
      </c>
      <c r="J41" s="14">
        <f>E41*Assumptions!$I$8</f>
        <v>47436.528960002979</v>
      </c>
      <c r="K41" s="12">
        <f>SUMIFS(tblMonthlyActuals[Gross_Profit],tblMonthlyActuals[Month_Start],$A41,tblMonthlyActuals[Product_Category],$B41)</f>
        <v>57261</v>
      </c>
      <c r="L41" s="15">
        <f t="shared" si="4"/>
        <v>9824.4710399970209</v>
      </c>
    </row>
    <row r="42" spans="1:12" x14ac:dyDescent="0.3">
      <c r="A42" s="10">
        <f t="shared" si="5"/>
        <v>45139</v>
      </c>
      <c r="B42" t="str">
        <f>INDEX(tblCategoryTargets[Category],MOD(ROW()-7,5)+1)</f>
        <v>Art &amp; Crafts</v>
      </c>
      <c r="C42" s="11">
        <f>SUMIFS(tblMonthlyActuals[Sales_Revenue],tblMonthlyActuals[Month_Start],EDATE($A42,-12),tblMonthlyActuals[Product_Category],$B42)</f>
        <v>57055.229999998344</v>
      </c>
      <c r="D42" s="8">
        <f>IFERROR(INDEX(tblCategoryTargets[Budget Growth Target],MATCH(tblBudget[[#This Row],[Category]],tblCategoryTargets[Category],0)),0)</f>
        <v>0.08</v>
      </c>
      <c r="E42" s="11">
        <f t="shared" si="0"/>
        <v>61619.648399998216</v>
      </c>
      <c r="F42" s="12">
        <f>SUMIFS(tblMonthlyActuals[Sales_Revenue],tblMonthlyActuals[Month_Start],$A42,tblMonthlyActuals[Product_Category],$B42)</f>
        <v>155295.63000000702</v>
      </c>
      <c r="G42" s="15">
        <f t="shared" si="1"/>
        <v>93675.981600008803</v>
      </c>
      <c r="H42" s="13">
        <f t="shared" si="2"/>
        <v>1.5202290832936904</v>
      </c>
      <c r="I42" t="str">
        <f t="shared" si="3"/>
        <v>Above Budget</v>
      </c>
      <c r="J42" s="14">
        <f>E42*Assumptions!$I$8</f>
        <v>18485.894519999463</v>
      </c>
      <c r="K42" s="12">
        <f>SUMIFS(tblMonthlyActuals[Gross_Profit],tblMonthlyActuals[Month_Start],$A42,tblMonthlyActuals[Product_Category],$B42)</f>
        <v>44603</v>
      </c>
      <c r="L42" s="15">
        <f t="shared" si="4"/>
        <v>26117.105480000537</v>
      </c>
    </row>
    <row r="43" spans="1:12" x14ac:dyDescent="0.3">
      <c r="A43" s="10">
        <f t="shared" si="5"/>
        <v>45139</v>
      </c>
      <c r="B43" t="str">
        <f>INDEX(tblCategoryTargets[Category],MOD(ROW()-7,5)+1)</f>
        <v>Electronics</v>
      </c>
      <c r="C43" s="11">
        <f>SUMIFS(tblMonthlyActuals[Sales_Revenue],tblMonthlyActuals[Month_Start],EDATE($A43,-12),tblMonthlyActuals[Product_Category],$B43)</f>
        <v>122930.06000000845</v>
      </c>
      <c r="D43" s="8">
        <f>IFERROR(INDEX(tblCategoryTargets[Budget Growth Target],MATCH(tblBudget[[#This Row],[Category]],tblCategoryTargets[Category],0)),0)</f>
        <v>0.08</v>
      </c>
      <c r="E43" s="11">
        <f t="shared" si="0"/>
        <v>132764.46480000913</v>
      </c>
      <c r="F43" s="12">
        <f>SUMIFS(tblMonthlyActuals[Sales_Revenue],tblMonthlyActuals[Month_Start],$A43,tblMonthlyActuals[Product_Category],$B43)</f>
        <v>84598.880000002682</v>
      </c>
      <c r="G43" s="15">
        <f t="shared" si="1"/>
        <v>-48165.584800006443</v>
      </c>
      <c r="H43" s="13">
        <f t="shared" si="2"/>
        <v>-0.3627897334769592</v>
      </c>
      <c r="I43" t="str">
        <f t="shared" si="3"/>
        <v>Below Budget</v>
      </c>
      <c r="J43" s="14">
        <f>E43*Assumptions!$I$8</f>
        <v>39829.339440002739</v>
      </c>
      <c r="K43" s="12">
        <f>SUMIFS(tblMonthlyActuals[Gross_Profit],tblMonthlyActuals[Month_Start],$A43,tblMonthlyActuals[Product_Category],$B43)</f>
        <v>34685</v>
      </c>
      <c r="L43" s="15">
        <f t="shared" si="4"/>
        <v>-5144.3394400027391</v>
      </c>
    </row>
    <row r="44" spans="1:12" x14ac:dyDescent="0.3">
      <c r="A44" s="10">
        <f t="shared" si="5"/>
        <v>45139</v>
      </c>
      <c r="B44" t="str">
        <f>INDEX(tblCategoryTargets[Category],MOD(ROW()-7,5)+1)</f>
        <v>Games</v>
      </c>
      <c r="C44" s="11">
        <f>SUMIFS(tblMonthlyActuals[Sales_Revenue],tblMonthlyActuals[Month_Start],EDATE($A44,-12),tblMonthlyActuals[Product_Category],$B44)</f>
        <v>79416.400000002657</v>
      </c>
      <c r="D44" s="8">
        <f>IFERROR(INDEX(tblCategoryTargets[Budget Growth Target],MATCH(tblBudget[[#This Row],[Category]],tblCategoryTargets[Category],0)),0)</f>
        <v>0.08</v>
      </c>
      <c r="E44" s="11">
        <f t="shared" si="0"/>
        <v>85769.712000002881</v>
      </c>
      <c r="F44" s="12">
        <f>SUMIFS(tblMonthlyActuals[Sales_Revenue],tblMonthlyActuals[Month_Start],$A44,tblMonthlyActuals[Product_Category],$B44)</f>
        <v>86757.460000003935</v>
      </c>
      <c r="G44" s="15">
        <f t="shared" si="1"/>
        <v>987.74800000105461</v>
      </c>
      <c r="H44" s="13">
        <f t="shared" si="2"/>
        <v>1.1516279779521953E-2</v>
      </c>
      <c r="I44" t="str">
        <f t="shared" si="3"/>
        <v>Above Budget</v>
      </c>
      <c r="J44" s="14">
        <f>E44*Assumptions!$I$8</f>
        <v>25730.913600000862</v>
      </c>
      <c r="K44" s="12">
        <f>SUMIFS(tblMonthlyActuals[Gross_Profit],tblMonthlyActuals[Month_Start],$A44,tblMonthlyActuals[Product_Category],$B44)</f>
        <v>24611</v>
      </c>
      <c r="L44" s="15">
        <f t="shared" si="4"/>
        <v>-1119.9136000008621</v>
      </c>
    </row>
    <row r="45" spans="1:12" x14ac:dyDescent="0.3">
      <c r="A45" s="10">
        <f t="shared" si="5"/>
        <v>45139</v>
      </c>
      <c r="B45" t="str">
        <f>INDEX(tblCategoryTargets[Category],MOD(ROW()-7,5)+1)</f>
        <v>Sports &amp; Outdoors</v>
      </c>
      <c r="C45" s="11">
        <f>SUMIFS(tblMonthlyActuals[Sales_Revenue],tblMonthlyActuals[Month_Start],EDATE($A45,-12),tblMonthlyActuals[Product_Category],$B45)</f>
        <v>89408.490000004444</v>
      </c>
      <c r="D45" s="8">
        <f>IFERROR(INDEX(tblCategoryTargets[Budget Growth Target],MATCH(tblBudget[[#This Row],[Category]],tblCategoryTargets[Category],0)),0)</f>
        <v>0.08</v>
      </c>
      <c r="E45" s="11">
        <f t="shared" si="0"/>
        <v>96561.169200004806</v>
      </c>
      <c r="F45" s="12">
        <f>SUMIFS(tblMonthlyActuals[Sales_Revenue],tblMonthlyActuals[Month_Start],$A45,tblMonthlyActuals[Product_Category],$B45)</f>
        <v>98763.590000006938</v>
      </c>
      <c r="G45" s="15">
        <f t="shared" si="1"/>
        <v>2202.4208000021317</v>
      </c>
      <c r="H45" s="13">
        <f t="shared" si="2"/>
        <v>2.2808555636275603E-2</v>
      </c>
      <c r="I45" t="str">
        <f t="shared" si="3"/>
        <v>Above Budget</v>
      </c>
      <c r="J45" s="14">
        <f>E45*Assumptions!$I$8</f>
        <v>28968.350760001442</v>
      </c>
      <c r="K45" s="12">
        <f>SUMIFS(tblMonthlyActuals[Gross_Profit],tblMonthlyActuals[Month_Start],$A45,tblMonthlyActuals[Product_Category],$B45)</f>
        <v>23284</v>
      </c>
      <c r="L45" s="15">
        <f t="shared" si="4"/>
        <v>-5684.3507600014418</v>
      </c>
    </row>
    <row r="46" spans="1:12" x14ac:dyDescent="0.3">
      <c r="A46" s="10">
        <f t="shared" si="5"/>
        <v>45139</v>
      </c>
      <c r="B46" t="str">
        <f>INDEX(tblCategoryTargets[Category],MOD(ROW()-7,5)+1)</f>
        <v>Toys</v>
      </c>
      <c r="C46" s="11">
        <f>SUMIFS(tblMonthlyActuals[Sales_Revenue],tblMonthlyActuals[Month_Start],EDATE($A46,-12),tblMonthlyActuals[Product_Category],$B46)</f>
        <v>140612.55000000892</v>
      </c>
      <c r="D46" s="8">
        <f>IFERROR(INDEX(tblCategoryTargets[Budget Growth Target],MATCH(tblBudget[[#This Row],[Category]],tblCategoryTargets[Category],0)),0)</f>
        <v>0.08</v>
      </c>
      <c r="E46" s="11">
        <f t="shared" si="0"/>
        <v>151861.55400000964</v>
      </c>
      <c r="F46" s="12">
        <f>SUMIFS(tblMonthlyActuals[Sales_Revenue],tblMonthlyActuals[Month_Start],$A46,tblMonthlyActuals[Product_Category],$B46)</f>
        <v>235461.5099999746</v>
      </c>
      <c r="G46" s="15">
        <f t="shared" si="1"/>
        <v>83599.955999964965</v>
      </c>
      <c r="H46" s="13">
        <f t="shared" si="2"/>
        <v>0.55050112288433228</v>
      </c>
      <c r="I46" t="str">
        <f t="shared" si="3"/>
        <v>Above Budget</v>
      </c>
      <c r="J46" s="14">
        <f>E46*Assumptions!$I$8</f>
        <v>45558.466200002891</v>
      </c>
      <c r="K46" s="12">
        <f>SUMIFS(tblMonthlyActuals[Gross_Profit],tblMonthlyActuals[Month_Start],$A46,tblMonthlyActuals[Product_Category],$B46)</f>
        <v>47855</v>
      </c>
      <c r="L46" s="15">
        <f t="shared" si="4"/>
        <v>2296.5337999971089</v>
      </c>
    </row>
    <row r="47" spans="1:12" x14ac:dyDescent="0.3">
      <c r="A47" s="10">
        <f t="shared" si="5"/>
        <v>45170</v>
      </c>
      <c r="B47" t="str">
        <f>INDEX(tblCategoryTargets[Category],MOD(ROW()-7,5)+1)</f>
        <v>Art &amp; Crafts</v>
      </c>
      <c r="C47" s="11">
        <f>SUMIFS(tblMonthlyActuals[Sales_Revenue],tblMonthlyActuals[Month_Start],EDATE($A47,-12),tblMonthlyActuals[Product_Category],$B47)</f>
        <v>68369.890000000087</v>
      </c>
      <c r="D47" s="8">
        <f>IFERROR(INDEX(tblCategoryTargets[Budget Growth Target],MATCH(tblBudget[[#This Row],[Category]],tblCategoryTargets[Category],0)),0)</f>
        <v>0.08</v>
      </c>
      <c r="E47" s="11">
        <f t="shared" si="0"/>
        <v>73839.481200000097</v>
      </c>
      <c r="F47" s="12">
        <f>SUMIFS(tblMonthlyActuals[Sales_Revenue],tblMonthlyActuals[Month_Start],$A47,tblMonthlyActuals[Product_Category],$B47)</f>
        <v>187229.63999998695</v>
      </c>
      <c r="G47" s="15">
        <f t="shared" si="1"/>
        <v>113390.15879998685</v>
      </c>
      <c r="H47" s="13">
        <f t="shared" si="2"/>
        <v>1.5356304914014849</v>
      </c>
      <c r="I47" t="str">
        <f t="shared" si="3"/>
        <v>Above Budget</v>
      </c>
      <c r="J47" s="14">
        <f>E47*Assumptions!$I$8</f>
        <v>22151.844360000028</v>
      </c>
      <c r="K47" s="12">
        <f>SUMIFS(tblMonthlyActuals[Gross_Profit],tblMonthlyActuals[Month_Start],$A47,tblMonthlyActuals[Product_Category],$B47)</f>
        <v>60048</v>
      </c>
      <c r="L47" s="15">
        <f t="shared" si="4"/>
        <v>37896.155639999968</v>
      </c>
    </row>
    <row r="48" spans="1:12" x14ac:dyDescent="0.3">
      <c r="A48" s="10">
        <f t="shared" si="5"/>
        <v>45170</v>
      </c>
      <c r="B48" t="str">
        <f>INDEX(tblCategoryTargets[Category],MOD(ROW()-7,5)+1)</f>
        <v>Electronics</v>
      </c>
      <c r="C48" s="11">
        <f>SUMIFS(tblMonthlyActuals[Sales_Revenue],tblMonthlyActuals[Month_Start],EDATE($A48,-12),tblMonthlyActuals[Product_Category],$B48)</f>
        <v>106980.79000000619</v>
      </c>
      <c r="D48" s="8">
        <f>IFERROR(INDEX(tblCategoryTargets[Budget Growth Target],MATCH(tblBudget[[#This Row],[Category]],tblCategoryTargets[Category],0)),0)</f>
        <v>0.08</v>
      </c>
      <c r="E48" s="11">
        <f t="shared" si="0"/>
        <v>115539.2532000067</v>
      </c>
      <c r="F48" s="12">
        <f>SUMIFS(tblMonthlyActuals[Sales_Revenue],tblMonthlyActuals[Month_Start],$A48,tblMonthlyActuals[Product_Category],$B48)</f>
        <v>72547.180000000095</v>
      </c>
      <c r="G48" s="15">
        <f t="shared" si="1"/>
        <v>-42992.073200006605</v>
      </c>
      <c r="H48" s="13">
        <f t="shared" si="2"/>
        <v>-0.37209928235890755</v>
      </c>
      <c r="I48" t="str">
        <f t="shared" si="3"/>
        <v>Below Budget</v>
      </c>
      <c r="J48" s="14">
        <f>E48*Assumptions!$I$8</f>
        <v>34661.775960002007</v>
      </c>
      <c r="K48" s="12">
        <f>SUMIFS(tblMonthlyActuals[Gross_Profit],tblMonthlyActuals[Month_Start],$A48,tblMonthlyActuals[Product_Category],$B48)</f>
        <v>29194</v>
      </c>
      <c r="L48" s="15">
        <f t="shared" si="4"/>
        <v>-5467.7759600020072</v>
      </c>
    </row>
    <row r="49" spans="1:12" x14ac:dyDescent="0.3">
      <c r="A49" s="10">
        <f t="shared" si="5"/>
        <v>45170</v>
      </c>
      <c r="B49" t="str">
        <f>INDEX(tblCategoryTargets[Category],MOD(ROW()-7,5)+1)</f>
        <v>Games</v>
      </c>
      <c r="C49" s="11">
        <f>SUMIFS(tblMonthlyActuals[Sales_Revenue],tblMonthlyActuals[Month_Start],EDATE($A49,-12),tblMonthlyActuals[Product_Category],$B49)</f>
        <v>81833.100000002989</v>
      </c>
      <c r="D49" s="8">
        <f>IFERROR(INDEX(tblCategoryTargets[Budget Growth Target],MATCH(tblBudget[[#This Row],[Category]],tblCategoryTargets[Category],0)),0)</f>
        <v>0.08</v>
      </c>
      <c r="E49" s="11">
        <f t="shared" si="0"/>
        <v>88379.748000003237</v>
      </c>
      <c r="F49" s="12">
        <f>SUMIFS(tblMonthlyActuals[Sales_Revenue],tblMonthlyActuals[Month_Start],$A49,tblMonthlyActuals[Product_Category],$B49)</f>
        <v>72150.889999999199</v>
      </c>
      <c r="G49" s="15">
        <f t="shared" si="1"/>
        <v>-16228.858000004038</v>
      </c>
      <c r="H49" s="13">
        <f t="shared" si="2"/>
        <v>-0.18362643441802351</v>
      </c>
      <c r="I49" t="str">
        <f t="shared" si="3"/>
        <v>Below Budget</v>
      </c>
      <c r="J49" s="14">
        <f>E49*Assumptions!$I$8</f>
        <v>26513.924400000971</v>
      </c>
      <c r="K49" s="12">
        <f>SUMIFS(tblMonthlyActuals[Gross_Profit],tblMonthlyActuals[Month_Start],$A49,tblMonthlyActuals[Product_Category],$B49)</f>
        <v>20522</v>
      </c>
      <c r="L49" s="15">
        <f t="shared" si="4"/>
        <v>-5991.9244000009712</v>
      </c>
    </row>
    <row r="50" spans="1:12" x14ac:dyDescent="0.3">
      <c r="A50" s="10">
        <f t="shared" si="5"/>
        <v>45170</v>
      </c>
      <c r="B50" t="str">
        <f>INDEX(tblCategoryTargets[Category],MOD(ROW()-7,5)+1)</f>
        <v>Sports &amp; Outdoors</v>
      </c>
      <c r="C50" s="11">
        <f>SUMIFS(tblMonthlyActuals[Sales_Revenue],tblMonthlyActuals[Month_Start],EDATE($A50,-12),tblMonthlyActuals[Product_Category],$B50)</f>
        <v>78698.610000001863</v>
      </c>
      <c r="D50" s="8">
        <f>IFERROR(INDEX(tblCategoryTargets[Budget Growth Target],MATCH(tblBudget[[#This Row],[Category]],tblCategoryTargets[Category],0)),0)</f>
        <v>0.08</v>
      </c>
      <c r="E50" s="11">
        <f t="shared" si="0"/>
        <v>84994.498800002024</v>
      </c>
      <c r="F50" s="12">
        <f>SUMIFS(tblMonthlyActuals[Sales_Revenue],tblMonthlyActuals[Month_Start],$A50,tblMonthlyActuals[Product_Category],$B50)</f>
        <v>111463.54000001196</v>
      </c>
      <c r="G50" s="15">
        <f t="shared" si="1"/>
        <v>26469.041200009931</v>
      </c>
      <c r="H50" s="13">
        <f t="shared" si="2"/>
        <v>0.31142063984980284</v>
      </c>
      <c r="I50" t="str">
        <f t="shared" si="3"/>
        <v>Above Budget</v>
      </c>
      <c r="J50" s="14">
        <f>E50*Assumptions!$I$8</f>
        <v>25498.349640000608</v>
      </c>
      <c r="K50" s="12">
        <f>SUMIFS(tblMonthlyActuals[Gross_Profit],tblMonthlyActuals[Month_Start],$A50,tblMonthlyActuals[Product_Category],$B50)</f>
        <v>27245</v>
      </c>
      <c r="L50" s="15">
        <f t="shared" si="4"/>
        <v>1746.6503599993921</v>
      </c>
    </row>
    <row r="51" spans="1:12" x14ac:dyDescent="0.3">
      <c r="A51" s="10">
        <f t="shared" si="5"/>
        <v>45170</v>
      </c>
      <c r="B51" t="str">
        <f>INDEX(tblCategoryTargets[Category],MOD(ROW()-7,5)+1)</f>
        <v>Toys</v>
      </c>
      <c r="C51" s="11">
        <f>SUMIFS(tblMonthlyActuals[Sales_Revenue],tblMonthlyActuals[Month_Start],EDATE($A51,-12),tblMonthlyActuals[Product_Category],$B51)</f>
        <v>249961.64999997537</v>
      </c>
      <c r="D51" s="8">
        <f>IFERROR(INDEX(tblCategoryTargets[Budget Growth Target],MATCH(tblBudget[[#This Row],[Category]],tblCategoryTargets[Category],0)),0)</f>
        <v>0.08</v>
      </c>
      <c r="E51" s="11">
        <f t="shared" si="0"/>
        <v>269958.58199997339</v>
      </c>
      <c r="F51" s="12">
        <f>SUMIFS(tblMonthlyActuals[Sales_Revenue],tblMonthlyActuals[Month_Start],$A51,tblMonthlyActuals[Product_Category],$B51)</f>
        <v>214803.22999998048</v>
      </c>
      <c r="G51" s="15">
        <f t="shared" si="1"/>
        <v>-55155.351999992912</v>
      </c>
      <c r="H51" s="13">
        <f t="shared" si="2"/>
        <v>-0.2043104227003176</v>
      </c>
      <c r="I51" t="str">
        <f t="shared" si="3"/>
        <v>Below Budget</v>
      </c>
      <c r="J51" s="14">
        <f>E51*Assumptions!$I$8</f>
        <v>80987.574599992018</v>
      </c>
      <c r="K51" s="12">
        <f>SUMIFS(tblMonthlyActuals[Gross_Profit],tblMonthlyActuals[Month_Start],$A51,tblMonthlyActuals[Product_Category],$B51)</f>
        <v>43436</v>
      </c>
      <c r="L51" s="15">
        <f t="shared" si="4"/>
        <v>-37551.574599992018</v>
      </c>
    </row>
  </sheetData>
  <conditionalFormatting sqref="G7:G51">
    <cfRule type="cellIs" dxfId="40" priority="6" operator="lessThan">
      <formula>0</formula>
    </cfRule>
    <cfRule type="cellIs" dxfId="39" priority="5" operator="greaterThan">
      <formula>0</formula>
    </cfRule>
  </conditionalFormatting>
  <conditionalFormatting sqref="L7:L51">
    <cfRule type="cellIs" dxfId="38" priority="4" operator="greaterThan">
      <formula>0</formula>
    </cfRule>
    <cfRule type="cellIs" dxfId="37" priority="3" operator="lessThan">
      <formula>0</formula>
    </cfRule>
  </conditionalFormatting>
  <conditionalFormatting sqref="I7:I51">
    <cfRule type="containsText" dxfId="36" priority="2" operator="containsText" text="Above Budget">
      <formula>NOT(ISERROR(SEARCH("Above Budget",I7)))</formula>
    </cfRule>
    <cfRule type="containsText" dxfId="35" priority="1" operator="containsText" text="Below Budget">
      <formula>NOT(ISERROR(SEARCH("Below Budget",I7)))</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C7042-5A21-49FD-8345-BD4261662AAA}">
  <dimension ref="A1:K21"/>
  <sheetViews>
    <sheetView workbookViewId="0">
      <selection activeCell="A6" sqref="A6"/>
    </sheetView>
  </sheetViews>
  <sheetFormatPr defaultRowHeight="14.4" x14ac:dyDescent="0.3"/>
  <cols>
    <col min="1" max="1" width="16.6640625" customWidth="1"/>
    <col min="2" max="2" width="16.109375" bestFit="1" customWidth="1"/>
    <col min="3" max="3" width="15" customWidth="1"/>
    <col min="4" max="5" width="17.21875" customWidth="1"/>
    <col min="6" max="6" width="14.44140625" customWidth="1"/>
    <col min="7" max="7" width="16.21875" bestFit="1" customWidth="1"/>
    <col min="8" max="8" width="16.6640625" customWidth="1"/>
    <col min="9" max="9" width="17.6640625" customWidth="1"/>
    <col min="10" max="10" width="19" customWidth="1"/>
    <col min="11" max="11" width="12.77734375" bestFit="1" customWidth="1"/>
  </cols>
  <sheetData>
    <row r="1" spans="1:11" x14ac:dyDescent="0.3">
      <c r="A1" t="s">
        <v>128</v>
      </c>
    </row>
    <row r="3" spans="1:11" x14ac:dyDescent="0.3">
      <c r="A3" s="9" t="s">
        <v>129</v>
      </c>
      <c r="C3" s="9" t="s">
        <v>130</v>
      </c>
      <c r="E3" s="9" t="s">
        <v>131</v>
      </c>
      <c r="G3" s="9" t="s">
        <v>132</v>
      </c>
      <c r="I3" s="9" t="s">
        <v>87</v>
      </c>
    </row>
    <row r="4" spans="1:11" x14ac:dyDescent="0.3">
      <c r="A4" s="15">
        <f>SUM(E7:E21)</f>
        <v>2421868.097599973</v>
      </c>
      <c r="C4" s="15">
        <f>SUM(H7:H21)</f>
        <v>1712688.2166239957</v>
      </c>
      <c r="E4" s="15">
        <f>SUM(I7:I21)</f>
        <v>709179.88097597647</v>
      </c>
      <c r="G4" s="13">
        <f>IFERROR(E4/A4,0)</f>
        <v>0.29282349508578143</v>
      </c>
      <c r="I4" t="str">
        <f>Assumptions!$B$3</f>
        <v>Best Case</v>
      </c>
    </row>
    <row r="6" spans="1:11" x14ac:dyDescent="0.3">
      <c r="A6" t="s">
        <v>119</v>
      </c>
      <c r="B6" t="s">
        <v>96</v>
      </c>
      <c r="C6" t="s">
        <v>120</v>
      </c>
      <c r="D6" t="s">
        <v>121</v>
      </c>
      <c r="E6" t="s">
        <v>122</v>
      </c>
      <c r="F6" t="s">
        <v>123</v>
      </c>
      <c r="G6" t="s">
        <v>124</v>
      </c>
      <c r="H6" t="s">
        <v>125</v>
      </c>
      <c r="I6" t="s">
        <v>126</v>
      </c>
      <c r="J6" t="s">
        <v>127</v>
      </c>
      <c r="K6" t="s">
        <v>91</v>
      </c>
    </row>
    <row r="7" spans="1:11" x14ac:dyDescent="0.3">
      <c r="A7" s="10">
        <f t="shared" ref="A7:A11" si="0">DATE(2023,10,1)</f>
        <v>45200</v>
      </c>
      <c r="B7" t="s">
        <v>20</v>
      </c>
      <c r="C7" s="15">
        <f>SUMIFS(tblMonthlyActuals[Sales_Revenue],tblMonthlyActuals[Month_Start],EDATE($A7,-12),tblMonthlyActuals[Product_Category],$B7)</f>
        <v>85597.900000005873</v>
      </c>
      <c r="D7" s="7">
        <f>Assumptions!$B$4</f>
        <v>0.12</v>
      </c>
      <c r="E7" s="15">
        <f t="shared" ref="E7:E21" si="1">C7*(1+D7)</f>
        <v>95869.648000006593</v>
      </c>
      <c r="F7">
        <f>SUMIFS(tblMonthlyActuals[Total_Cost],tblMonthlyActuals[Month_Start],EDATE($A7,-12),tblMonthlyActuals[Product_Category],$B7)</f>
        <v>55840.899999999172</v>
      </c>
      <c r="G7" s="7">
        <f>Assumptions!$B$5</f>
        <v>-0.01</v>
      </c>
      <c r="H7" s="15">
        <f t="shared" ref="H7:H21" si="2">F7*(1+D7)*(1+G7)</f>
        <v>61916.389919999092</v>
      </c>
      <c r="I7" s="15">
        <f t="shared" ref="I7:I21" si="3">E7-H7</f>
        <v>33953.258080007501</v>
      </c>
      <c r="J7" s="13">
        <f t="shared" ref="J7:J21" si="4">IFERROR(I7/E7,0)</f>
        <v>0.35416066282005298</v>
      </c>
      <c r="K7" t="str">
        <f>Assumptions!$B$3</f>
        <v>Best Case</v>
      </c>
    </row>
    <row r="8" spans="1:11" x14ac:dyDescent="0.3">
      <c r="A8" s="10">
        <f t="shared" si="0"/>
        <v>45200</v>
      </c>
      <c r="B8" t="s">
        <v>22</v>
      </c>
      <c r="C8" s="15">
        <f>SUMIFS(tblMonthlyActuals[Sales_Revenue],tblMonthlyActuals[Month_Start],EDATE($A8,-12),tblMonthlyActuals[Product_Category],$B8)</f>
        <v>113795.65000000678</v>
      </c>
      <c r="D8" s="7">
        <f>Assumptions!$B$4</f>
        <v>0.12</v>
      </c>
      <c r="E8" s="15">
        <f t="shared" si="1"/>
        <v>127451.12800000761</v>
      </c>
      <c r="F8" s="15">
        <f>SUMIFS(tblMonthlyActuals[Total_Cost],tblMonthlyActuals[Month_Start],EDATE($A8,-12),tblMonthlyActuals[Product_Category],$B8)</f>
        <v>65120.649999998808</v>
      </c>
      <c r="G8" s="7">
        <f>Assumptions!$B$5</f>
        <v>-0.01</v>
      </c>
      <c r="H8" s="15">
        <f t="shared" si="2"/>
        <v>72205.776719998685</v>
      </c>
      <c r="I8" s="15">
        <f t="shared" si="3"/>
        <v>55245.351280008923</v>
      </c>
      <c r="J8" s="13">
        <f t="shared" si="4"/>
        <v>0.43346302341086873</v>
      </c>
      <c r="K8" t="str">
        <f>Assumptions!$B$3</f>
        <v>Best Case</v>
      </c>
    </row>
    <row r="9" spans="1:11" x14ac:dyDescent="0.3">
      <c r="A9" s="10">
        <f t="shared" si="0"/>
        <v>45200</v>
      </c>
      <c r="B9" t="s">
        <v>21</v>
      </c>
      <c r="C9" s="15">
        <f>SUMIFS(tblMonthlyActuals[Sales_Revenue],tblMonthlyActuals[Month_Start],EDATE($A9,-12),tblMonthlyActuals[Product_Category],$B9)</f>
        <v>104525.39000001046</v>
      </c>
      <c r="D9" s="7">
        <f>Assumptions!$B$4</f>
        <v>0.12</v>
      </c>
      <c r="E9" s="15">
        <f t="shared" si="1"/>
        <v>117068.43680001172</v>
      </c>
      <c r="F9">
        <f>SUMIFS(tblMonthlyActuals[Total_Cost],tblMonthlyActuals[Month_Start],EDATE($A9,-12),tblMonthlyActuals[Product_Category],$B9)</f>
        <v>73210.390000000174</v>
      </c>
      <c r="G9" s="7">
        <f>Assumptions!$B$5</f>
        <v>-0.01</v>
      </c>
      <c r="H9" s="15">
        <f t="shared" si="2"/>
        <v>81175.680432000197</v>
      </c>
      <c r="I9" s="15">
        <f t="shared" si="3"/>
        <v>35892.756368011527</v>
      </c>
      <c r="J9" s="13">
        <f t="shared" si="4"/>
        <v>0.30659635807153729</v>
      </c>
      <c r="K9" t="str">
        <f>Assumptions!$B$3</f>
        <v>Best Case</v>
      </c>
    </row>
    <row r="10" spans="1:11" x14ac:dyDescent="0.3">
      <c r="A10" s="10">
        <f t="shared" si="0"/>
        <v>45200</v>
      </c>
      <c r="B10" t="s">
        <v>23</v>
      </c>
      <c r="C10" s="15">
        <f>SUMIFS(tblMonthlyActuals[Sales_Revenue],tblMonthlyActuals[Month_Start],EDATE($A10,-12),tblMonthlyActuals[Product_Category],$B10)</f>
        <v>71357.509999999354</v>
      </c>
      <c r="D10" s="7">
        <f>Assumptions!$B$4</f>
        <v>0.12</v>
      </c>
      <c r="E10" s="15">
        <f t="shared" si="1"/>
        <v>79920.411199999289</v>
      </c>
      <c r="F10">
        <f>SUMIFS(tblMonthlyActuals[Total_Cost],tblMonthlyActuals[Month_Start],EDATE($A10,-12),tblMonthlyActuals[Product_Category],$B10)</f>
        <v>54296.509999998656</v>
      </c>
      <c r="G10" s="7">
        <f>Assumptions!$B$5</f>
        <v>-0.01</v>
      </c>
      <c r="H10" s="15">
        <f t="shared" si="2"/>
        <v>60203.97028799852</v>
      </c>
      <c r="I10" s="15">
        <f t="shared" si="3"/>
        <v>19716.440912000769</v>
      </c>
      <c r="J10" s="13">
        <f t="shared" si="4"/>
        <v>0.24670094430145956</v>
      </c>
      <c r="K10" t="str">
        <f>Assumptions!$B$3</f>
        <v>Best Case</v>
      </c>
    </row>
    <row r="11" spans="1:11" x14ac:dyDescent="0.3">
      <c r="A11" s="10">
        <f t="shared" si="0"/>
        <v>45200</v>
      </c>
      <c r="B11" t="s">
        <v>19</v>
      </c>
      <c r="C11" s="15">
        <f>SUMIFS(tblMonthlyActuals[Sales_Revenue],tblMonthlyActuals[Month_Start],EDATE($A11,-12),tblMonthlyActuals[Product_Category],$B11)</f>
        <v>248597.93999997232</v>
      </c>
      <c r="D11" s="7">
        <f>Assumptions!$B$4</f>
        <v>0.12</v>
      </c>
      <c r="E11" s="15">
        <f t="shared" si="1"/>
        <v>278429.69279996905</v>
      </c>
      <c r="F11">
        <f>SUMIFS(tblMonthlyActuals[Total_Cost],tblMonthlyActuals[Month_Start],EDATE($A11,-12),tblMonthlyActuals[Product_Category],$B11)</f>
        <v>196606.93999998359</v>
      </c>
      <c r="G11" s="7">
        <f>Assumptions!$B$5</f>
        <v>-0.01</v>
      </c>
      <c r="H11" s="15">
        <f t="shared" si="2"/>
        <v>217997.77507198183</v>
      </c>
      <c r="I11" s="15">
        <f t="shared" si="3"/>
        <v>60431.917727987224</v>
      </c>
      <c r="J11" s="13">
        <f t="shared" si="4"/>
        <v>0.21704552097251728</v>
      </c>
      <c r="K11" t="str">
        <f>Assumptions!$B$3</f>
        <v>Best Case</v>
      </c>
    </row>
    <row r="12" spans="1:11" x14ac:dyDescent="0.3">
      <c r="A12" s="10">
        <f t="shared" ref="A12:A16" si="5">DATE(2023,11,1)</f>
        <v>45231</v>
      </c>
      <c r="B12" t="s">
        <v>20</v>
      </c>
      <c r="C12" s="15">
        <f>SUMIFS(tblMonthlyActuals[Sales_Revenue],tblMonthlyActuals[Month_Start],EDATE($A12,-12),tblMonthlyActuals[Product_Category],$B12)</f>
        <v>118599.5700000167</v>
      </c>
      <c r="D12" s="7">
        <f>Assumptions!$B$4</f>
        <v>0.12</v>
      </c>
      <c r="E12" s="15">
        <f t="shared" si="1"/>
        <v>132831.51840001871</v>
      </c>
      <c r="F12">
        <f>SUMIFS(tblMonthlyActuals[Total_Cost],tblMonthlyActuals[Month_Start],EDATE($A12,-12),tblMonthlyActuals[Product_Category],$B12)</f>
        <v>76690.570000004431</v>
      </c>
      <c r="G12" s="7">
        <f>Assumptions!$B$5</f>
        <v>-0.01</v>
      </c>
      <c r="H12" s="15">
        <f t="shared" si="2"/>
        <v>85034.504016004925</v>
      </c>
      <c r="I12" s="15">
        <f t="shared" si="3"/>
        <v>47797.01438401379</v>
      </c>
      <c r="J12" s="13">
        <f t="shared" si="4"/>
        <v>0.35983187544445816</v>
      </c>
      <c r="K12" t="str">
        <f>Assumptions!$B$3</f>
        <v>Best Case</v>
      </c>
    </row>
    <row r="13" spans="1:11" x14ac:dyDescent="0.3">
      <c r="A13" s="10">
        <f t="shared" si="5"/>
        <v>45231</v>
      </c>
      <c r="B13" t="s">
        <v>22</v>
      </c>
      <c r="C13" s="15">
        <f>SUMIFS(tblMonthlyActuals[Sales_Revenue],tblMonthlyActuals[Month_Start],EDATE($A13,-12),tblMonthlyActuals[Product_Category],$B13)</f>
        <v>100433.83000000517</v>
      </c>
      <c r="D13" s="7">
        <f>Assumptions!$B$4</f>
        <v>0.12</v>
      </c>
      <c r="E13" s="15">
        <f t="shared" si="1"/>
        <v>112485.8896000058</v>
      </c>
      <c r="F13">
        <f>SUMIFS(tblMonthlyActuals[Total_Cost],tblMonthlyActuals[Month_Start],EDATE($A13,-12),tblMonthlyActuals[Product_Category],$B13)</f>
        <v>56751.82999999891</v>
      </c>
      <c r="G13" s="7">
        <f>Assumptions!$B$5</f>
        <v>-0.01</v>
      </c>
      <c r="H13" s="15">
        <f t="shared" si="2"/>
        <v>62926.429103998795</v>
      </c>
      <c r="I13" s="15">
        <f t="shared" si="3"/>
        <v>49559.460496007006</v>
      </c>
      <c r="J13" s="13">
        <f t="shared" si="4"/>
        <v>0.44058379830784083</v>
      </c>
      <c r="K13" t="str">
        <f>Assumptions!$B$3</f>
        <v>Best Case</v>
      </c>
    </row>
    <row r="14" spans="1:11" x14ac:dyDescent="0.3">
      <c r="A14" s="10">
        <f t="shared" si="5"/>
        <v>45231</v>
      </c>
      <c r="B14" t="s">
        <v>21</v>
      </c>
      <c r="C14" s="15">
        <f>SUMIFS(tblMonthlyActuals[Sales_Revenue],tblMonthlyActuals[Month_Start],EDATE($A14,-12),tblMonthlyActuals[Product_Category],$B14)</f>
        <v>111619.87000001151</v>
      </c>
      <c r="D14" s="7">
        <f>Assumptions!$B$4</f>
        <v>0.12</v>
      </c>
      <c r="E14" s="15">
        <f t="shared" si="1"/>
        <v>125014.2544000129</v>
      </c>
      <c r="F14">
        <f>SUMIFS(tblMonthlyActuals[Total_Cost],tblMonthlyActuals[Month_Start],EDATE($A14,-12),tblMonthlyActuals[Product_Category],$B14)</f>
        <v>78744.870000001611</v>
      </c>
      <c r="G14" s="7">
        <f>Assumptions!$B$5</f>
        <v>-0.01</v>
      </c>
      <c r="H14" s="15">
        <f t="shared" si="2"/>
        <v>87312.31185600179</v>
      </c>
      <c r="I14" s="15">
        <f t="shared" si="3"/>
        <v>37701.942544011108</v>
      </c>
      <c r="J14" s="13">
        <f t="shared" si="4"/>
        <v>0.30158114948535997</v>
      </c>
      <c r="K14" t="str">
        <f>Assumptions!$B$3</f>
        <v>Best Case</v>
      </c>
    </row>
    <row r="15" spans="1:11" x14ac:dyDescent="0.3">
      <c r="A15" s="10">
        <f t="shared" si="5"/>
        <v>45231</v>
      </c>
      <c r="B15" t="s">
        <v>23</v>
      </c>
      <c r="C15" s="15">
        <f>SUMIFS(tblMonthlyActuals[Sales_Revenue],tblMonthlyActuals[Month_Start],EDATE($A15,-12),tblMonthlyActuals[Product_Category],$B15)</f>
        <v>76414.080000002286</v>
      </c>
      <c r="D15" s="7">
        <f>Assumptions!$B$4</f>
        <v>0.12</v>
      </c>
      <c r="E15" s="15">
        <f t="shared" si="1"/>
        <v>85583.769600002575</v>
      </c>
      <c r="F15">
        <f>SUMIFS(tblMonthlyActuals[Total_Cost],tblMonthlyActuals[Month_Start],EDATE($A15,-12),tblMonthlyActuals[Product_Category],$B15)</f>
        <v>58290.079999997855</v>
      </c>
      <c r="G15" s="7">
        <f>Assumptions!$B$5</f>
        <v>-0.01</v>
      </c>
      <c r="H15" s="15">
        <f t="shared" si="2"/>
        <v>64632.040703997627</v>
      </c>
      <c r="I15" s="15">
        <f t="shared" si="3"/>
        <v>20951.728896004948</v>
      </c>
      <c r="J15" s="13">
        <f t="shared" si="4"/>
        <v>0.24480960576903962</v>
      </c>
      <c r="K15" t="str">
        <f>Assumptions!$B$3</f>
        <v>Best Case</v>
      </c>
    </row>
    <row r="16" spans="1:11" x14ac:dyDescent="0.3">
      <c r="A16" s="10">
        <f t="shared" si="5"/>
        <v>45231</v>
      </c>
      <c r="B16" t="s">
        <v>19</v>
      </c>
      <c r="C16" s="15">
        <f>SUMIFS(tblMonthlyActuals[Sales_Revenue],tblMonthlyActuals[Month_Start],EDATE($A16,-12),tblMonthlyActuals[Product_Category],$B16)</f>
        <v>254236.79999996952</v>
      </c>
      <c r="D16" s="7">
        <f>Assumptions!$B$4</f>
        <v>0.12</v>
      </c>
      <c r="E16" s="15">
        <f t="shared" si="1"/>
        <v>284745.21599996591</v>
      </c>
      <c r="F16">
        <f>SUMIFS(tblMonthlyActuals[Total_Cost],tblMonthlyActuals[Month_Start],EDATE($A16,-12),tblMonthlyActuals[Product_Category],$B16)</f>
        <v>197953.79999998506</v>
      </c>
      <c r="G16" s="7">
        <f>Assumptions!$B$5</f>
        <v>-0.01</v>
      </c>
      <c r="H16" s="15">
        <f t="shared" si="2"/>
        <v>219491.17343998345</v>
      </c>
      <c r="I16" s="15">
        <f t="shared" si="3"/>
        <v>65254.042559982452</v>
      </c>
      <c r="J16" s="13">
        <f t="shared" si="4"/>
        <v>0.22916642279949759</v>
      </c>
      <c r="K16" t="str">
        <f>Assumptions!$B$3</f>
        <v>Best Case</v>
      </c>
    </row>
    <row r="17" spans="1:11" x14ac:dyDescent="0.3">
      <c r="A17" s="10">
        <f t="shared" ref="A17:A21" si="6">DATE(2023,12,1)</f>
        <v>45261</v>
      </c>
      <c r="B17" t="s">
        <v>20</v>
      </c>
      <c r="C17" s="15">
        <f>SUMIFS(tblMonthlyActuals[Sales_Revenue],tblMonthlyActuals[Month_Start],EDATE($A17,-12),tblMonthlyActuals[Product_Category],$B17)</f>
        <v>191297.13999999233</v>
      </c>
      <c r="D17" s="7">
        <f>Assumptions!$B$4</f>
        <v>0.12</v>
      </c>
      <c r="E17" s="15">
        <f t="shared" si="1"/>
        <v>214252.79679999143</v>
      </c>
      <c r="F17">
        <f>SUMIFS(tblMonthlyActuals[Total_Cost],tblMonthlyActuals[Month_Start],EDATE($A17,-12),tblMonthlyActuals[Product_Category],$B17)</f>
        <v>134674.14000001771</v>
      </c>
      <c r="G17" s="7">
        <f>Assumptions!$B$5</f>
        <v>-0.01</v>
      </c>
      <c r="H17" s="15">
        <f t="shared" si="2"/>
        <v>149326.68643201966</v>
      </c>
      <c r="I17" s="15">
        <f t="shared" si="3"/>
        <v>64926.110367971763</v>
      </c>
      <c r="J17" s="13">
        <f t="shared" si="4"/>
        <v>0.3030350657619717</v>
      </c>
      <c r="K17" t="str">
        <f>Assumptions!$B$3</f>
        <v>Best Case</v>
      </c>
    </row>
    <row r="18" spans="1:11" x14ac:dyDescent="0.3">
      <c r="A18" s="10">
        <f t="shared" si="6"/>
        <v>45261</v>
      </c>
      <c r="B18" t="s">
        <v>22</v>
      </c>
      <c r="C18" s="15">
        <f>SUMIFS(tblMonthlyActuals[Sales_Revenue],tblMonthlyActuals[Month_Start],EDATE($A18,-12),tblMonthlyActuals[Product_Category],$B18)</f>
        <v>108751.98000000761</v>
      </c>
      <c r="D18" s="7">
        <f>Assumptions!$B$4</f>
        <v>0.12</v>
      </c>
      <c r="E18" s="15">
        <f t="shared" si="1"/>
        <v>121802.21760000853</v>
      </c>
      <c r="F18">
        <f>SUMIFS(tblMonthlyActuals[Total_Cost],tblMonthlyActuals[Month_Start],EDATE($A18,-12),tblMonthlyActuals[Product_Category],$B18)</f>
        <v>63991.979999998199</v>
      </c>
      <c r="G18" s="7">
        <f>Assumptions!$B$5</f>
        <v>-0.01</v>
      </c>
      <c r="H18" s="15">
        <f t="shared" si="2"/>
        <v>70954.307423998005</v>
      </c>
      <c r="I18" s="15">
        <f t="shared" si="3"/>
        <v>50847.910176010526</v>
      </c>
      <c r="J18" s="13">
        <f t="shared" si="4"/>
        <v>0.41746292619229752</v>
      </c>
      <c r="K18" t="str">
        <f>Assumptions!$B$3</f>
        <v>Best Case</v>
      </c>
    </row>
    <row r="19" spans="1:11" x14ac:dyDescent="0.3">
      <c r="A19" s="10">
        <f t="shared" si="6"/>
        <v>45261</v>
      </c>
      <c r="B19" t="s">
        <v>21</v>
      </c>
      <c r="C19" s="15">
        <f>SUMIFS(tblMonthlyActuals[Sales_Revenue],tblMonthlyActuals[Month_Start],EDATE($A19,-12),tblMonthlyActuals[Product_Category],$B19)</f>
        <v>182541.64999999045</v>
      </c>
      <c r="D19" s="7">
        <f>Assumptions!$B$4</f>
        <v>0.12</v>
      </c>
      <c r="E19" s="15">
        <f t="shared" si="1"/>
        <v>204446.64799998933</v>
      </c>
      <c r="F19">
        <f>SUMIFS(tblMonthlyActuals[Total_Cost],tblMonthlyActuals[Month_Start],EDATE($A19,-12),tblMonthlyActuals[Product_Category],$B19)</f>
        <v>130157.65000001961</v>
      </c>
      <c r="G19" s="7">
        <f>Assumptions!$B$5</f>
        <v>-0.01</v>
      </c>
      <c r="H19" s="15">
        <f t="shared" si="2"/>
        <v>144318.80232002176</v>
      </c>
      <c r="I19" s="15">
        <f t="shared" si="3"/>
        <v>60127.845679967577</v>
      </c>
      <c r="J19" s="13">
        <f t="shared" si="4"/>
        <v>0.29410042310877466</v>
      </c>
      <c r="K19" t="str">
        <f>Assumptions!$B$3</f>
        <v>Best Case</v>
      </c>
    </row>
    <row r="20" spans="1:11" x14ac:dyDescent="0.3">
      <c r="A20" s="10">
        <f t="shared" si="6"/>
        <v>45261</v>
      </c>
      <c r="B20" t="s">
        <v>23</v>
      </c>
      <c r="C20" s="15">
        <f>SUMIFS(tblMonthlyActuals[Sales_Revenue],tblMonthlyActuals[Month_Start],EDATE($A20,-12),tblMonthlyActuals[Product_Category],$B20)</f>
        <v>129891.10000001387</v>
      </c>
      <c r="D20" s="7">
        <f>Assumptions!$B$4</f>
        <v>0.12</v>
      </c>
      <c r="E20" s="15">
        <f t="shared" si="1"/>
        <v>145478.03200001555</v>
      </c>
      <c r="F20">
        <f>SUMIFS(tblMonthlyActuals[Total_Cost],tblMonthlyActuals[Month_Start],EDATE($A20,-12),tblMonthlyActuals[Product_Category],$B20)</f>
        <v>95023.100000007704</v>
      </c>
      <c r="G20" s="7">
        <f>Assumptions!$B$5</f>
        <v>-0.01</v>
      </c>
      <c r="H20" s="15">
        <f t="shared" si="2"/>
        <v>105361.61328000855</v>
      </c>
      <c r="I20" s="15">
        <f t="shared" si="3"/>
        <v>40116.418720007001</v>
      </c>
      <c r="J20" s="13">
        <f t="shared" si="4"/>
        <v>0.2757558524025312</v>
      </c>
      <c r="K20" t="str">
        <f>Assumptions!$B$3</f>
        <v>Best Case</v>
      </c>
    </row>
    <row r="21" spans="1:11" x14ac:dyDescent="0.3">
      <c r="A21" s="10">
        <f t="shared" si="6"/>
        <v>45261</v>
      </c>
      <c r="B21" t="s">
        <v>19</v>
      </c>
      <c r="C21" s="15">
        <f>SUMIFS(tblMonthlyActuals[Sales_Revenue],tblMonthlyActuals[Month_Start],EDATE($A21,-12),tblMonthlyActuals[Product_Category],$B21)</f>
        <v>264721.81999997102</v>
      </c>
      <c r="D21" s="7">
        <f>Assumptions!$B$4</f>
        <v>0.12</v>
      </c>
      <c r="E21" s="15">
        <f t="shared" si="1"/>
        <v>296488.43839996756</v>
      </c>
      <c r="F21">
        <f>SUMIFS(tblMonthlyActuals[Total_Cost],tblMonthlyActuals[Month_Start],EDATE($A21,-12),tblMonthlyActuals[Product_Category],$B21)</f>
        <v>207278.81999998473</v>
      </c>
      <c r="G21" s="7">
        <f>Assumptions!$B$5</f>
        <v>-0.01</v>
      </c>
      <c r="H21" s="15">
        <f t="shared" si="2"/>
        <v>229830.7556159831</v>
      </c>
      <c r="I21" s="15">
        <f t="shared" si="3"/>
        <v>66657.682783984463</v>
      </c>
      <c r="J21" s="13">
        <f t="shared" si="4"/>
        <v>0.22482388569250786</v>
      </c>
      <c r="K21" t="str">
        <f>Assumptions!$B$3</f>
        <v>Best Case</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8B615-8996-4064-B598-27B91F332943}">
  <dimension ref="A3:Z66"/>
  <sheetViews>
    <sheetView tabSelected="1" topLeftCell="L34" workbookViewId="0">
      <selection activeCell="U56" sqref="U56"/>
    </sheetView>
  </sheetViews>
  <sheetFormatPr defaultRowHeight="14.4" x14ac:dyDescent="0.3"/>
  <cols>
    <col min="1" max="1" width="12.5546875" bestFit="1" customWidth="1"/>
    <col min="2" max="2" width="13.77734375" bestFit="1" customWidth="1"/>
    <col min="3" max="3" width="12.6640625" bestFit="1" customWidth="1"/>
    <col min="4" max="4" width="12" bestFit="1" customWidth="1"/>
    <col min="6" max="6" width="15.5546875" bestFit="1" customWidth="1"/>
    <col min="7" max="7" width="13.77734375" bestFit="1" customWidth="1"/>
    <col min="8" max="8" width="12.6640625" bestFit="1" customWidth="1"/>
    <col min="9" max="9" width="12.109375" bestFit="1" customWidth="1"/>
    <col min="11" max="11" width="27.5546875" bestFit="1" customWidth="1"/>
    <col min="12" max="12" width="13.77734375" bestFit="1" customWidth="1"/>
    <col min="13" max="13" width="12.6640625" bestFit="1" customWidth="1"/>
    <col min="14" max="14" width="12.109375" bestFit="1" customWidth="1"/>
    <col min="16" max="17" width="13.5546875" bestFit="1" customWidth="1"/>
    <col min="18" max="18" width="12.44140625" bestFit="1" customWidth="1"/>
    <col min="19" max="19" width="12.109375" bestFit="1" customWidth="1"/>
    <col min="20" max="20" width="10" bestFit="1" customWidth="1"/>
    <col min="21" max="21" width="16.44140625" bestFit="1" customWidth="1"/>
    <col min="24" max="24" width="12.5546875" bestFit="1" customWidth="1"/>
    <col min="25" max="25" width="22.109375" bestFit="1" customWidth="1"/>
    <col min="26" max="26" width="22.5546875" bestFit="1" customWidth="1"/>
  </cols>
  <sheetData>
    <row r="3" spans="1:25" x14ac:dyDescent="0.3">
      <c r="A3" s="19" t="s">
        <v>133</v>
      </c>
      <c r="B3" t="s">
        <v>135</v>
      </c>
      <c r="C3" t="s">
        <v>136</v>
      </c>
      <c r="F3" s="19" t="s">
        <v>133</v>
      </c>
      <c r="G3" t="s">
        <v>135</v>
      </c>
      <c r="H3" t="s">
        <v>136</v>
      </c>
      <c r="I3" t="s">
        <v>137</v>
      </c>
      <c r="K3" s="19" t="s">
        <v>133</v>
      </c>
      <c r="L3" t="s">
        <v>135</v>
      </c>
      <c r="M3" t="s">
        <v>136</v>
      </c>
      <c r="N3" t="s">
        <v>137</v>
      </c>
      <c r="P3" t="s">
        <v>135</v>
      </c>
      <c r="Q3" t="s">
        <v>254</v>
      </c>
      <c r="R3" t="s">
        <v>136</v>
      </c>
      <c r="S3" t="s">
        <v>137</v>
      </c>
      <c r="T3" t="s">
        <v>223</v>
      </c>
      <c r="U3" t="s">
        <v>255</v>
      </c>
      <c r="X3" s="19" t="s">
        <v>133</v>
      </c>
      <c r="Y3" t="s">
        <v>136</v>
      </c>
    </row>
    <row r="4" spans="1:25" x14ac:dyDescent="0.3">
      <c r="A4" s="20" t="s">
        <v>31</v>
      </c>
      <c r="B4" s="21">
        <v>542554.91</v>
      </c>
      <c r="C4" s="21">
        <v>167126</v>
      </c>
      <c r="F4" s="20" t="s">
        <v>19</v>
      </c>
      <c r="G4" s="21">
        <v>5093241</v>
      </c>
      <c r="H4" s="21">
        <v>1079527</v>
      </c>
      <c r="I4" s="22">
        <v>0.21195286066376989</v>
      </c>
      <c r="K4" s="20" t="s">
        <v>138</v>
      </c>
      <c r="L4" s="21">
        <v>239997.35</v>
      </c>
      <c r="M4" s="21">
        <v>68642</v>
      </c>
      <c r="N4" s="22">
        <v>0.28601149137688398</v>
      </c>
      <c r="P4" s="21">
        <v>14444572.35</v>
      </c>
      <c r="Q4" s="21">
        <v>10430543.35</v>
      </c>
      <c r="R4" s="21">
        <v>4014029</v>
      </c>
      <c r="S4" s="22">
        <v>0.27789185465224242</v>
      </c>
      <c r="T4" s="24">
        <v>1090565</v>
      </c>
      <c r="U4" s="24">
        <v>829262</v>
      </c>
      <c r="X4" s="20" t="s">
        <v>146</v>
      </c>
      <c r="Y4" s="21">
        <v>169856</v>
      </c>
    </row>
    <row r="5" spans="1:25" x14ac:dyDescent="0.3">
      <c r="A5" s="20" t="s">
        <v>33</v>
      </c>
      <c r="B5" s="21">
        <v>541351.65</v>
      </c>
      <c r="C5" s="21">
        <v>161861</v>
      </c>
      <c r="F5" s="20" t="s">
        <v>22</v>
      </c>
      <c r="G5" s="21">
        <v>2246771.25</v>
      </c>
      <c r="H5" s="21">
        <v>1001437</v>
      </c>
      <c r="I5" s="22">
        <v>0.44572272321893025</v>
      </c>
      <c r="K5" s="20" t="s">
        <v>139</v>
      </c>
      <c r="L5" s="21">
        <v>311786.44</v>
      </c>
      <c r="M5" s="21">
        <v>88248</v>
      </c>
      <c r="N5" s="22">
        <v>0.28303989102284244</v>
      </c>
      <c r="X5" s="20" t="s">
        <v>155</v>
      </c>
      <c r="Y5" s="21">
        <v>121571</v>
      </c>
    </row>
    <row r="6" spans="1:25" x14ac:dyDescent="0.3">
      <c r="A6" s="20" t="s">
        <v>35</v>
      </c>
      <c r="B6" s="21">
        <v>589485.18999999994</v>
      </c>
      <c r="C6" s="21">
        <v>173992</v>
      </c>
      <c r="F6" s="20" t="s">
        <v>20</v>
      </c>
      <c r="G6" s="21">
        <v>2705364.26</v>
      </c>
      <c r="H6" s="21">
        <v>753354</v>
      </c>
      <c r="I6" s="22">
        <v>0.2784667525695782</v>
      </c>
      <c r="K6" s="20" t="s">
        <v>140</v>
      </c>
      <c r="L6" s="21">
        <v>206055.23</v>
      </c>
      <c r="M6" s="21">
        <v>58091</v>
      </c>
      <c r="N6" s="22">
        <v>0.28191956108078403</v>
      </c>
      <c r="X6" s="20" t="s">
        <v>145</v>
      </c>
      <c r="Y6" s="21">
        <v>111296</v>
      </c>
    </row>
    <row r="7" spans="1:25" x14ac:dyDescent="0.3">
      <c r="A7" s="20" t="s">
        <v>37</v>
      </c>
      <c r="B7" s="21">
        <v>681072.98</v>
      </c>
      <c r="C7" s="21">
        <v>190099</v>
      </c>
      <c r="F7" s="20" t="s">
        <v>21</v>
      </c>
      <c r="G7" s="21">
        <v>2226836.27</v>
      </c>
      <c r="H7" s="21">
        <v>673993</v>
      </c>
      <c r="I7" s="22">
        <v>0.30266841306657899</v>
      </c>
      <c r="K7" s="20" t="s">
        <v>141</v>
      </c>
      <c r="L7" s="21">
        <v>258919.35</v>
      </c>
      <c r="M7" s="21">
        <v>67940</v>
      </c>
      <c r="N7" s="22">
        <v>0.26239831051638279</v>
      </c>
      <c r="X7" s="20" t="s">
        <v>168</v>
      </c>
      <c r="Y7" s="21">
        <v>106783</v>
      </c>
    </row>
    <row r="8" spans="1:25" x14ac:dyDescent="0.3">
      <c r="A8" s="20" t="s">
        <v>39</v>
      </c>
      <c r="B8" s="21">
        <v>672369.9</v>
      </c>
      <c r="C8" s="21">
        <v>186894</v>
      </c>
      <c r="F8" s="20" t="s">
        <v>23</v>
      </c>
      <c r="G8" s="21">
        <v>2172359.5699999998</v>
      </c>
      <c r="H8" s="21">
        <v>505718</v>
      </c>
      <c r="I8" s="22">
        <v>0.23279663596390721</v>
      </c>
      <c r="K8" s="20" t="s">
        <v>142</v>
      </c>
      <c r="L8" s="21">
        <v>248008.3</v>
      </c>
      <c r="M8" s="21">
        <v>69605</v>
      </c>
      <c r="N8" s="22">
        <v>0.28065592966041863</v>
      </c>
      <c r="X8" s="20" t="s">
        <v>181</v>
      </c>
      <c r="Y8" s="21">
        <v>104612</v>
      </c>
    </row>
    <row r="9" spans="1:25" x14ac:dyDescent="0.3">
      <c r="A9" s="20" t="s">
        <v>41</v>
      </c>
      <c r="B9" s="21">
        <v>661980.22</v>
      </c>
      <c r="C9" s="21">
        <v>189815</v>
      </c>
      <c r="F9" s="20" t="s">
        <v>134</v>
      </c>
      <c r="G9" s="21">
        <v>14444572.35</v>
      </c>
      <c r="H9" s="21">
        <v>4014029</v>
      </c>
      <c r="I9" s="22">
        <v>0.27789185465224242</v>
      </c>
      <c r="K9" s="20" t="s">
        <v>143</v>
      </c>
      <c r="L9" s="21">
        <v>268704.74</v>
      </c>
      <c r="M9" s="21">
        <v>77263</v>
      </c>
      <c r="N9" s="22">
        <v>0.28753865674271323</v>
      </c>
      <c r="X9" s="20" t="s">
        <v>156</v>
      </c>
      <c r="Y9" s="21">
        <v>102178</v>
      </c>
    </row>
    <row r="10" spans="1:25" x14ac:dyDescent="0.3">
      <c r="A10" s="20" t="s">
        <v>43</v>
      </c>
      <c r="B10" s="21">
        <v>556034.23</v>
      </c>
      <c r="C10" s="21">
        <v>176922</v>
      </c>
      <c r="K10" s="20" t="s">
        <v>144</v>
      </c>
      <c r="L10" s="21">
        <v>242539.73</v>
      </c>
      <c r="M10" s="21">
        <v>66558</v>
      </c>
      <c r="N10" s="22">
        <v>0.27442101959955179</v>
      </c>
      <c r="X10" s="20" t="s">
        <v>162</v>
      </c>
      <c r="Y10" s="21">
        <v>98825</v>
      </c>
    </row>
    <row r="11" spans="1:25" x14ac:dyDescent="0.3">
      <c r="A11" s="20" t="s">
        <v>45</v>
      </c>
      <c r="B11" s="21">
        <v>489422.73</v>
      </c>
      <c r="C11" s="21">
        <v>158931</v>
      </c>
      <c r="K11" s="20" t="s">
        <v>145</v>
      </c>
      <c r="L11" s="21">
        <v>433556.21</v>
      </c>
      <c r="M11" s="21">
        <v>111296</v>
      </c>
      <c r="N11" s="22">
        <v>0.25670489185243134</v>
      </c>
      <c r="X11" s="20" t="s">
        <v>165</v>
      </c>
      <c r="Y11" s="21">
        <v>97206</v>
      </c>
    </row>
    <row r="12" spans="1:25" x14ac:dyDescent="0.3">
      <c r="A12" s="20" t="s">
        <v>47</v>
      </c>
      <c r="B12" s="21">
        <v>585844.04</v>
      </c>
      <c r="C12" s="21">
        <v>166397</v>
      </c>
      <c r="K12" s="20" t="s">
        <v>146</v>
      </c>
      <c r="L12" s="21">
        <v>554553.43000000005</v>
      </c>
      <c r="M12" s="21">
        <v>169856</v>
      </c>
      <c r="N12" s="22">
        <v>0.30629329981783721</v>
      </c>
      <c r="X12" s="20" t="s">
        <v>177</v>
      </c>
      <c r="Y12" s="21">
        <v>94252</v>
      </c>
    </row>
    <row r="13" spans="1:25" x14ac:dyDescent="0.3">
      <c r="A13" s="20" t="s">
        <v>49</v>
      </c>
      <c r="B13" s="21">
        <v>623874.39</v>
      </c>
      <c r="C13" s="21">
        <v>178799</v>
      </c>
      <c r="K13" s="20" t="s">
        <v>147</v>
      </c>
      <c r="L13" s="21">
        <v>337424.66</v>
      </c>
      <c r="M13" s="21">
        <v>94021</v>
      </c>
      <c r="N13" s="22">
        <v>0.27864294210150498</v>
      </c>
      <c r="X13" s="20" t="s">
        <v>147</v>
      </c>
      <c r="Y13" s="21">
        <v>94021</v>
      </c>
    </row>
    <row r="14" spans="1:25" x14ac:dyDescent="0.3">
      <c r="A14" s="20" t="s">
        <v>51</v>
      </c>
      <c r="B14" s="21">
        <v>661304.15</v>
      </c>
      <c r="C14" s="21">
        <v>192873</v>
      </c>
      <c r="K14" s="20" t="s">
        <v>148</v>
      </c>
      <c r="L14" s="21">
        <v>323957.71000000002</v>
      </c>
      <c r="M14" s="21">
        <v>90385</v>
      </c>
      <c r="N14" s="22">
        <v>0.27900246609349105</v>
      </c>
      <c r="X14" s="20" t="s">
        <v>134</v>
      </c>
      <c r="Y14" s="21">
        <v>1100600</v>
      </c>
    </row>
    <row r="15" spans="1:25" x14ac:dyDescent="0.3">
      <c r="A15" s="20" t="s">
        <v>53</v>
      </c>
      <c r="B15" s="21">
        <v>877203.69</v>
      </c>
      <c r="C15" s="21">
        <v>246078</v>
      </c>
      <c r="K15" s="20" t="s">
        <v>149</v>
      </c>
      <c r="L15" s="21">
        <v>294803.99</v>
      </c>
      <c r="M15" s="21">
        <v>83088</v>
      </c>
      <c r="N15" s="22">
        <v>0.28184150424829729</v>
      </c>
    </row>
    <row r="16" spans="1:25" x14ac:dyDescent="0.3">
      <c r="A16" s="20" t="s">
        <v>54</v>
      </c>
      <c r="B16" s="21">
        <v>747196.22</v>
      </c>
      <c r="C16" s="21">
        <v>205074</v>
      </c>
      <c r="K16" s="20" t="s">
        <v>150</v>
      </c>
      <c r="L16" s="21">
        <v>221587.26</v>
      </c>
      <c r="M16" s="21">
        <v>56811</v>
      </c>
      <c r="N16" s="22">
        <v>0.25638206817485809</v>
      </c>
    </row>
    <row r="17" spans="1:18" x14ac:dyDescent="0.3">
      <c r="A17" s="20" t="s">
        <v>55</v>
      </c>
      <c r="B17" s="21">
        <v>722632.19</v>
      </c>
      <c r="C17" s="21">
        <v>189314</v>
      </c>
      <c r="K17" s="20" t="s">
        <v>151</v>
      </c>
      <c r="L17" s="21">
        <v>251160.91</v>
      </c>
      <c r="M17" s="21">
        <v>63959</v>
      </c>
      <c r="N17" s="22">
        <v>0.25465348090990753</v>
      </c>
    </row>
    <row r="18" spans="1:18" x14ac:dyDescent="0.3">
      <c r="A18" s="20" t="s">
        <v>56</v>
      </c>
      <c r="B18" s="21">
        <v>883515.64</v>
      </c>
      <c r="C18" s="21">
        <v>231909</v>
      </c>
      <c r="K18" s="20" t="s">
        <v>152</v>
      </c>
      <c r="L18" s="21">
        <v>222318.78</v>
      </c>
      <c r="M18" s="21">
        <v>62673</v>
      </c>
      <c r="N18" s="22">
        <v>0.28190600902002072</v>
      </c>
    </row>
    <row r="19" spans="1:18" x14ac:dyDescent="0.3">
      <c r="A19" s="20" t="s">
        <v>57</v>
      </c>
      <c r="B19" s="21">
        <v>827691.07</v>
      </c>
      <c r="C19" s="21">
        <v>215096</v>
      </c>
      <c r="K19" s="20" t="s">
        <v>153</v>
      </c>
      <c r="L19" s="21">
        <v>261842.89</v>
      </c>
      <c r="M19" s="21">
        <v>69429</v>
      </c>
      <c r="N19" s="22">
        <v>0.26515518523340464</v>
      </c>
    </row>
    <row r="20" spans="1:18" x14ac:dyDescent="0.3">
      <c r="A20" s="20" t="s">
        <v>58</v>
      </c>
      <c r="B20" s="21">
        <v>825319.49</v>
      </c>
      <c r="C20" s="21">
        <v>210347</v>
      </c>
      <c r="K20" s="20" t="s">
        <v>154</v>
      </c>
      <c r="L20" s="21">
        <v>262435.02</v>
      </c>
      <c r="M20" s="21">
        <v>75752</v>
      </c>
      <c r="N20" s="22">
        <v>0.28865050098877809</v>
      </c>
    </row>
    <row r="21" spans="1:18" x14ac:dyDescent="0.3">
      <c r="A21" s="20" t="s">
        <v>59</v>
      </c>
      <c r="B21" s="21">
        <v>808299.25</v>
      </c>
      <c r="C21" s="21">
        <v>207212</v>
      </c>
      <c r="K21" s="20" t="s">
        <v>155</v>
      </c>
      <c r="L21" s="21">
        <v>449354.91</v>
      </c>
      <c r="M21" s="21">
        <v>121571</v>
      </c>
      <c r="N21" s="22">
        <v>0.27054561393353865</v>
      </c>
    </row>
    <row r="22" spans="1:18" x14ac:dyDescent="0.3">
      <c r="A22" s="20" t="s">
        <v>60</v>
      </c>
      <c r="B22" s="21">
        <v>828348.86</v>
      </c>
      <c r="C22" s="21">
        <v>209807</v>
      </c>
      <c r="K22" s="20" t="s">
        <v>156</v>
      </c>
      <c r="L22" s="21">
        <v>348466.64</v>
      </c>
      <c r="M22" s="21">
        <v>102178</v>
      </c>
      <c r="N22" s="22">
        <v>0.29322175574683418</v>
      </c>
    </row>
    <row r="23" spans="1:18" x14ac:dyDescent="0.3">
      <c r="A23" s="20" t="s">
        <v>61</v>
      </c>
      <c r="B23" s="21">
        <v>660877.06999999995</v>
      </c>
      <c r="C23" s="21">
        <v>175038</v>
      </c>
      <c r="K23" s="20" t="s">
        <v>157</v>
      </c>
      <c r="L23" s="21">
        <v>313916.59999999998</v>
      </c>
      <c r="M23" s="21">
        <v>88002</v>
      </c>
      <c r="N23" s="22">
        <v>0.28033560506198141</v>
      </c>
    </row>
    <row r="24" spans="1:18" x14ac:dyDescent="0.3">
      <c r="A24" s="20" t="s">
        <v>62</v>
      </c>
      <c r="B24" s="21">
        <v>658194.48</v>
      </c>
      <c r="C24" s="21">
        <v>180445</v>
      </c>
      <c r="K24" s="20" t="s">
        <v>158</v>
      </c>
      <c r="L24" s="21">
        <v>278926.67</v>
      </c>
      <c r="M24" s="21">
        <v>79550</v>
      </c>
      <c r="N24" s="22">
        <v>0.28520040769138355</v>
      </c>
    </row>
    <row r="25" spans="1:18" x14ac:dyDescent="0.3">
      <c r="A25" s="20" t="s">
        <v>134</v>
      </c>
      <c r="B25" s="21">
        <v>14444572.35</v>
      </c>
      <c r="C25" s="21">
        <v>4014029</v>
      </c>
      <c r="K25" s="20" t="s">
        <v>159</v>
      </c>
      <c r="L25" s="21">
        <v>276212.56</v>
      </c>
      <c r="M25" s="21">
        <v>67495</v>
      </c>
      <c r="N25" s="22">
        <v>0.24435890967449128</v>
      </c>
    </row>
    <row r="26" spans="1:18" x14ac:dyDescent="0.3">
      <c r="K26" s="20" t="s">
        <v>160</v>
      </c>
      <c r="L26" s="21">
        <v>235115.18</v>
      </c>
      <c r="M26" s="21">
        <v>76788</v>
      </c>
      <c r="N26" s="22">
        <v>0.32659737240275172</v>
      </c>
    </row>
    <row r="27" spans="1:18" x14ac:dyDescent="0.3">
      <c r="K27" s="20" t="s">
        <v>161</v>
      </c>
      <c r="L27" s="21">
        <v>323427.02</v>
      </c>
      <c r="M27" s="21">
        <v>87995</v>
      </c>
      <c r="N27" s="22">
        <v>0.27207065136363684</v>
      </c>
    </row>
    <row r="28" spans="1:18" x14ac:dyDescent="0.3">
      <c r="K28" s="20" t="s">
        <v>162</v>
      </c>
      <c r="L28" s="21">
        <v>344846.64</v>
      </c>
      <c r="M28" s="21">
        <v>98825</v>
      </c>
      <c r="N28" s="22">
        <v>0.28657666491980321</v>
      </c>
    </row>
    <row r="29" spans="1:18" x14ac:dyDescent="0.3">
      <c r="K29" s="20" t="s">
        <v>163</v>
      </c>
      <c r="L29" s="21">
        <v>210897.83</v>
      </c>
      <c r="M29" s="21">
        <v>57407</v>
      </c>
      <c r="N29" s="22">
        <v>0.2722028955916711</v>
      </c>
    </row>
    <row r="30" spans="1:18" x14ac:dyDescent="0.3">
      <c r="A30" s="19" t="s">
        <v>133</v>
      </c>
      <c r="B30" t="s">
        <v>135</v>
      </c>
      <c r="C30" t="s">
        <v>136</v>
      </c>
      <c r="D30" t="s">
        <v>223</v>
      </c>
      <c r="F30" s="19" t="s">
        <v>133</v>
      </c>
      <c r="G30" t="s">
        <v>135</v>
      </c>
      <c r="H30" t="s">
        <v>136</v>
      </c>
      <c r="K30" s="20" t="s">
        <v>164</v>
      </c>
      <c r="L30" s="21">
        <v>232097.72</v>
      </c>
      <c r="M30" s="21">
        <v>64399</v>
      </c>
      <c r="N30" s="22">
        <v>0.27746502636906556</v>
      </c>
      <c r="P30" s="19" t="s">
        <v>133</v>
      </c>
      <c r="Q30" t="s">
        <v>135</v>
      </c>
      <c r="R30" t="s">
        <v>136</v>
      </c>
    </row>
    <row r="31" spans="1:18" x14ac:dyDescent="0.3">
      <c r="A31" s="20" t="s">
        <v>193</v>
      </c>
      <c r="B31" s="21">
        <v>1564476.32</v>
      </c>
      <c r="C31" s="21">
        <v>834944</v>
      </c>
      <c r="D31" s="23">
        <v>104368</v>
      </c>
      <c r="F31" s="20" t="s">
        <v>231</v>
      </c>
      <c r="G31" s="21">
        <v>1649492.01</v>
      </c>
      <c r="H31" s="21">
        <v>465558</v>
      </c>
      <c r="K31" s="20" t="s">
        <v>165</v>
      </c>
      <c r="L31" s="21">
        <v>294019.42</v>
      </c>
      <c r="M31" s="21">
        <v>97206</v>
      </c>
      <c r="N31" s="22">
        <v>0.33061081475502535</v>
      </c>
      <c r="P31" s="20" t="s">
        <v>19</v>
      </c>
      <c r="Q31" s="21">
        <v>5093241</v>
      </c>
      <c r="R31" s="21">
        <v>1079527</v>
      </c>
    </row>
    <row r="32" spans="1:18" x14ac:dyDescent="0.3">
      <c r="A32" s="20" t="s">
        <v>188</v>
      </c>
      <c r="B32" s="21">
        <v>926748.42</v>
      </c>
      <c r="C32" s="21">
        <v>347748</v>
      </c>
      <c r="D32" s="23">
        <v>57958</v>
      </c>
      <c r="F32" s="20" t="s">
        <v>234</v>
      </c>
      <c r="G32" s="21">
        <v>1322099.46</v>
      </c>
      <c r="H32" s="21">
        <v>368930</v>
      </c>
      <c r="K32" s="20" t="s">
        <v>166</v>
      </c>
      <c r="L32" s="21">
        <v>292156.43</v>
      </c>
      <c r="M32" s="21">
        <v>77842</v>
      </c>
      <c r="N32" s="22">
        <v>0.2664394550549512</v>
      </c>
      <c r="P32" s="20" t="s">
        <v>20</v>
      </c>
      <c r="Q32" s="21">
        <v>2705364.26</v>
      </c>
      <c r="R32" s="21">
        <v>753354</v>
      </c>
    </row>
    <row r="33" spans="1:26" x14ac:dyDescent="0.3">
      <c r="A33" s="20" t="s">
        <v>205</v>
      </c>
      <c r="B33" s="21">
        <v>2388882.63</v>
      </c>
      <c r="C33" s="21">
        <v>298685</v>
      </c>
      <c r="D33" s="23">
        <v>59737</v>
      </c>
      <c r="F33" s="20" t="s">
        <v>240</v>
      </c>
      <c r="G33" s="21">
        <v>1261845.7</v>
      </c>
      <c r="H33" s="21">
        <v>346729</v>
      </c>
      <c r="K33" s="20" t="s">
        <v>167</v>
      </c>
      <c r="L33" s="21">
        <v>277959.14</v>
      </c>
      <c r="M33" s="21">
        <v>73985</v>
      </c>
      <c r="N33" s="22">
        <v>0.26617221509607492</v>
      </c>
      <c r="P33" s="20" t="s">
        <v>22</v>
      </c>
      <c r="Q33" s="21">
        <v>2246771.25</v>
      </c>
      <c r="R33" s="21">
        <v>1001437</v>
      </c>
    </row>
    <row r="34" spans="1:26" x14ac:dyDescent="0.3">
      <c r="A34" s="20" t="s">
        <v>195</v>
      </c>
      <c r="B34" s="21">
        <v>587397.66</v>
      </c>
      <c r="C34" s="21">
        <v>252102</v>
      </c>
      <c r="D34" s="23">
        <v>84034</v>
      </c>
      <c r="F34" s="20" t="s">
        <v>236</v>
      </c>
      <c r="G34" s="21">
        <v>903388.84</v>
      </c>
      <c r="H34" s="21">
        <v>263608</v>
      </c>
      <c r="K34" s="20" t="s">
        <v>168</v>
      </c>
      <c r="L34" s="21">
        <v>372998.82</v>
      </c>
      <c r="M34" s="21">
        <v>106783</v>
      </c>
      <c r="N34" s="22">
        <v>0.2862824070060061</v>
      </c>
      <c r="P34" s="20" t="s">
        <v>21</v>
      </c>
      <c r="Q34" s="21">
        <v>2226836.27</v>
      </c>
      <c r="R34" s="21">
        <v>673993</v>
      </c>
    </row>
    <row r="35" spans="1:26" x14ac:dyDescent="0.3">
      <c r="A35" s="20" t="s">
        <v>201</v>
      </c>
      <c r="B35" s="21">
        <v>412322.82</v>
      </c>
      <c r="C35" s="21">
        <v>187590</v>
      </c>
      <c r="D35" s="23">
        <v>37518</v>
      </c>
      <c r="F35" s="20" t="s">
        <v>235</v>
      </c>
      <c r="G35" s="21">
        <v>869055.83</v>
      </c>
      <c r="H35" s="21">
        <v>235047</v>
      </c>
      <c r="K35" s="20" t="s">
        <v>169</v>
      </c>
      <c r="L35" s="21">
        <v>285814.24</v>
      </c>
      <c r="M35" s="21">
        <v>86622</v>
      </c>
      <c r="N35" s="22">
        <v>0.30307097365057806</v>
      </c>
      <c r="P35" s="20" t="s">
        <v>23</v>
      </c>
      <c r="Q35" s="21">
        <v>2172359.5699999998</v>
      </c>
      <c r="R35" s="21">
        <v>505718</v>
      </c>
    </row>
    <row r="36" spans="1:26" x14ac:dyDescent="0.3">
      <c r="A36" s="20" t="s">
        <v>190</v>
      </c>
      <c r="B36" s="21">
        <v>365735.37</v>
      </c>
      <c r="C36" s="21">
        <v>183326</v>
      </c>
      <c r="D36" s="23">
        <v>91663</v>
      </c>
      <c r="F36" s="20" t="s">
        <v>244</v>
      </c>
      <c r="G36" s="21">
        <v>808710.29</v>
      </c>
      <c r="H36" s="21">
        <v>229694</v>
      </c>
      <c r="K36" s="20" t="s">
        <v>170</v>
      </c>
      <c r="L36" s="21">
        <v>325073.5</v>
      </c>
      <c r="M36" s="21">
        <v>79339</v>
      </c>
      <c r="N36" s="22">
        <v>0.2440648038059085</v>
      </c>
      <c r="P36" s="20" t="s">
        <v>134</v>
      </c>
      <c r="Q36" s="21">
        <v>14444572.35</v>
      </c>
      <c r="R36" s="21">
        <v>4014029</v>
      </c>
    </row>
    <row r="37" spans="1:26" x14ac:dyDescent="0.3">
      <c r="A37" s="20" t="s">
        <v>204</v>
      </c>
      <c r="B37" s="21">
        <v>488415.67</v>
      </c>
      <c r="C37" s="21">
        <v>146598</v>
      </c>
      <c r="D37" s="23">
        <v>24433</v>
      </c>
      <c r="F37" s="20" t="s">
        <v>239</v>
      </c>
      <c r="G37" s="21">
        <v>586175.85</v>
      </c>
      <c r="H37" s="21">
        <v>175048</v>
      </c>
      <c r="K37" s="20" t="s">
        <v>171</v>
      </c>
      <c r="L37" s="21">
        <v>273060.05</v>
      </c>
      <c r="M37" s="21">
        <v>90484</v>
      </c>
      <c r="N37" s="22">
        <v>0.33137033410782718</v>
      </c>
    </row>
    <row r="38" spans="1:26" x14ac:dyDescent="0.3">
      <c r="A38" s="20" t="s">
        <v>211</v>
      </c>
      <c r="B38" s="21">
        <v>530594.56999999995</v>
      </c>
      <c r="C38" s="21">
        <v>132715</v>
      </c>
      <c r="D38" s="23">
        <v>26543</v>
      </c>
      <c r="F38" s="20" t="s">
        <v>251</v>
      </c>
      <c r="G38" s="21">
        <v>610119.77</v>
      </c>
      <c r="H38" s="21">
        <v>163720</v>
      </c>
      <c r="K38" s="20" t="s">
        <v>172</v>
      </c>
      <c r="L38" s="21">
        <v>242154.36</v>
      </c>
      <c r="M38" s="21">
        <v>59618</v>
      </c>
      <c r="N38" s="22">
        <v>0.24619833398828747</v>
      </c>
    </row>
    <row r="39" spans="1:26" x14ac:dyDescent="0.3">
      <c r="A39" s="20" t="s">
        <v>194</v>
      </c>
      <c r="B39" s="21">
        <v>505092.12</v>
      </c>
      <c r="C39" s="21">
        <v>126352</v>
      </c>
      <c r="D39" s="23">
        <v>31588</v>
      </c>
      <c r="F39" s="20" t="s">
        <v>245</v>
      </c>
      <c r="G39" s="21">
        <v>579514.97</v>
      </c>
      <c r="H39" s="21">
        <v>163248</v>
      </c>
      <c r="K39" s="20" t="s">
        <v>173</v>
      </c>
      <c r="L39" s="21">
        <v>237676.15</v>
      </c>
      <c r="M39" s="21">
        <v>63989</v>
      </c>
      <c r="N39" s="22">
        <v>0.26922768649694134</v>
      </c>
    </row>
    <row r="40" spans="1:26" x14ac:dyDescent="0.3">
      <c r="A40" s="20" t="s">
        <v>198</v>
      </c>
      <c r="B40" s="21">
        <v>255406.32</v>
      </c>
      <c r="C40" s="21">
        <v>121680</v>
      </c>
      <c r="D40" s="23">
        <v>12168</v>
      </c>
      <c r="F40" s="20" t="s">
        <v>248</v>
      </c>
      <c r="G40" s="21">
        <v>633521.68000000005</v>
      </c>
      <c r="H40" s="21">
        <v>162702</v>
      </c>
      <c r="K40" s="20" t="s">
        <v>174</v>
      </c>
      <c r="L40" s="21">
        <v>258533.87</v>
      </c>
      <c r="M40" s="21">
        <v>75942</v>
      </c>
      <c r="N40" s="22">
        <v>0.29374100964024558</v>
      </c>
      <c r="X40" s="19" t="s">
        <v>133</v>
      </c>
      <c r="Y40" t="s">
        <v>256</v>
      </c>
      <c r="Z40" t="s">
        <v>257</v>
      </c>
    </row>
    <row r="41" spans="1:26" x14ac:dyDescent="0.3">
      <c r="A41" s="20" t="s">
        <v>206</v>
      </c>
      <c r="B41" s="21">
        <v>968962.02</v>
      </c>
      <c r="C41" s="21">
        <v>121196</v>
      </c>
      <c r="D41" s="23">
        <v>60598</v>
      </c>
      <c r="F41" s="20" t="s">
        <v>227</v>
      </c>
      <c r="G41" s="21">
        <v>516713.04</v>
      </c>
      <c r="H41" s="21">
        <v>146868</v>
      </c>
      <c r="K41" s="20" t="s">
        <v>175</v>
      </c>
      <c r="L41" s="21">
        <v>282616.87</v>
      </c>
      <c r="M41" s="21">
        <v>75082</v>
      </c>
      <c r="N41" s="22">
        <v>0.26566708491251778</v>
      </c>
      <c r="X41" s="27">
        <v>44927</v>
      </c>
      <c r="Y41" s="28">
        <v>747196.21999999671</v>
      </c>
      <c r="Z41" s="28">
        <v>585959.30280000635</v>
      </c>
    </row>
    <row r="42" spans="1:26" x14ac:dyDescent="0.3">
      <c r="A42" s="20" t="s">
        <v>189</v>
      </c>
      <c r="B42" s="21">
        <v>507766.11</v>
      </c>
      <c r="C42" s="21">
        <v>117267</v>
      </c>
      <c r="D42" s="23">
        <v>39089</v>
      </c>
      <c r="F42" s="20" t="s">
        <v>225</v>
      </c>
      <c r="G42" s="21">
        <v>517841.67</v>
      </c>
      <c r="H42" s="21">
        <v>146339</v>
      </c>
      <c r="K42" s="20" t="s">
        <v>176</v>
      </c>
      <c r="L42" s="21">
        <v>267559.55</v>
      </c>
      <c r="M42" s="21">
        <v>78670</v>
      </c>
      <c r="N42" s="22">
        <v>0.29402800236433346</v>
      </c>
      <c r="X42" s="27">
        <v>44958</v>
      </c>
      <c r="Y42" s="28">
        <v>722632.18999999575</v>
      </c>
      <c r="Z42" s="28">
        <v>584659.78200000688</v>
      </c>
    </row>
    <row r="43" spans="1:26" x14ac:dyDescent="0.3">
      <c r="A43" s="20" t="s">
        <v>197</v>
      </c>
      <c r="B43" s="21">
        <v>434889.88</v>
      </c>
      <c r="C43" s="21">
        <v>116048</v>
      </c>
      <c r="D43" s="23">
        <v>29012</v>
      </c>
      <c r="F43" s="20" t="s">
        <v>241</v>
      </c>
      <c r="G43" s="21">
        <v>273060.05</v>
      </c>
      <c r="H43" s="21">
        <v>90484</v>
      </c>
      <c r="K43" s="20" t="s">
        <v>177</v>
      </c>
      <c r="L43" s="21">
        <v>330408.90000000002</v>
      </c>
      <c r="M43" s="21">
        <v>94252</v>
      </c>
      <c r="N43" s="22">
        <v>0.28525865980002357</v>
      </c>
      <c r="X43" s="27">
        <v>44986</v>
      </c>
      <c r="Y43" s="28">
        <v>883515.63999998011</v>
      </c>
      <c r="Z43" s="28">
        <v>636644.00519998756</v>
      </c>
    </row>
    <row r="44" spans="1:26" x14ac:dyDescent="0.3">
      <c r="A44" s="20" t="s">
        <v>200</v>
      </c>
      <c r="B44" s="21">
        <v>376938.42</v>
      </c>
      <c r="C44" s="21">
        <v>107748</v>
      </c>
      <c r="D44" s="23">
        <v>17958</v>
      </c>
      <c r="F44" s="20" t="s">
        <v>229</v>
      </c>
      <c r="G44" s="21">
        <v>294803.99</v>
      </c>
      <c r="H44" s="21">
        <v>83088</v>
      </c>
      <c r="K44" s="20" t="s">
        <v>178</v>
      </c>
      <c r="L44" s="21">
        <v>249106.07</v>
      </c>
      <c r="M44" s="21">
        <v>68996</v>
      </c>
      <c r="N44" s="22">
        <v>0.27697438284020942</v>
      </c>
      <c r="X44" s="27">
        <v>45017</v>
      </c>
      <c r="Y44" s="28">
        <v>827691.06999998935</v>
      </c>
      <c r="Z44" s="28">
        <v>735558.8183999859</v>
      </c>
    </row>
    <row r="45" spans="1:26" x14ac:dyDescent="0.3">
      <c r="A45" s="20" t="s">
        <v>212</v>
      </c>
      <c r="B45" s="21">
        <v>308352.71999999997</v>
      </c>
      <c r="C45" s="21">
        <v>103128</v>
      </c>
      <c r="D45" s="23">
        <v>103128</v>
      </c>
      <c r="F45" s="20" t="s">
        <v>250</v>
      </c>
      <c r="G45" s="21">
        <v>258210.66</v>
      </c>
      <c r="H45" s="21">
        <v>74221</v>
      </c>
      <c r="K45" s="20" t="s">
        <v>179</v>
      </c>
      <c r="L45" s="21">
        <v>263389.65000000002</v>
      </c>
      <c r="M45" s="21">
        <v>68880</v>
      </c>
      <c r="N45" s="22">
        <v>0.261513692736218</v>
      </c>
      <c r="X45" s="27">
        <v>45047</v>
      </c>
      <c r="Y45" s="28">
        <v>825319.4899999625</v>
      </c>
      <c r="Z45" s="28">
        <v>726159.49199996726</v>
      </c>
    </row>
    <row r="46" spans="1:26" x14ac:dyDescent="0.3">
      <c r="A46" s="20" t="s">
        <v>208</v>
      </c>
      <c r="B46" s="21">
        <v>335703.96</v>
      </c>
      <c r="C46" s="21">
        <v>100812</v>
      </c>
      <c r="D46" s="23">
        <v>33604</v>
      </c>
      <c r="F46" s="20" t="s">
        <v>247</v>
      </c>
      <c r="G46" s="21">
        <v>277598.14</v>
      </c>
      <c r="H46" s="21">
        <v>72922</v>
      </c>
      <c r="K46" s="20" t="s">
        <v>180</v>
      </c>
      <c r="L46" s="21">
        <v>277598.14</v>
      </c>
      <c r="M46" s="21">
        <v>72922</v>
      </c>
      <c r="N46" s="22">
        <v>0.26268907997726498</v>
      </c>
      <c r="X46" s="27">
        <v>45078</v>
      </c>
      <c r="Y46" s="28">
        <v>808299.24999996321</v>
      </c>
      <c r="Z46" s="28">
        <v>714938.63759999163</v>
      </c>
    </row>
    <row r="47" spans="1:26" x14ac:dyDescent="0.3">
      <c r="A47" s="20" t="s">
        <v>203</v>
      </c>
      <c r="B47" s="21">
        <v>130409.46</v>
      </c>
      <c r="C47" s="21">
        <v>91378</v>
      </c>
      <c r="D47" s="23">
        <v>13054</v>
      </c>
      <c r="F47" s="20" t="s">
        <v>246</v>
      </c>
      <c r="G47" s="21">
        <v>263389.65000000002</v>
      </c>
      <c r="H47" s="21">
        <v>68880</v>
      </c>
      <c r="K47" s="20" t="s">
        <v>181</v>
      </c>
      <c r="L47" s="21">
        <v>411157.32</v>
      </c>
      <c r="M47" s="21">
        <v>104612</v>
      </c>
      <c r="N47" s="22">
        <v>0.25443302334979712</v>
      </c>
      <c r="X47" s="27">
        <v>45108</v>
      </c>
      <c r="Y47" s="28">
        <v>828348.85999996448</v>
      </c>
      <c r="Z47" s="28">
        <v>600516.96840003971</v>
      </c>
    </row>
    <row r="48" spans="1:26" x14ac:dyDescent="0.3">
      <c r="A48" s="20" t="s">
        <v>217</v>
      </c>
      <c r="B48" s="21">
        <v>912983.28</v>
      </c>
      <c r="C48" s="21">
        <v>91344</v>
      </c>
      <c r="D48" s="23">
        <v>45672</v>
      </c>
      <c r="F48" s="20" t="s">
        <v>224</v>
      </c>
      <c r="G48" s="21">
        <v>239997.35</v>
      </c>
      <c r="H48" s="21">
        <v>68642</v>
      </c>
      <c r="K48" s="20" t="s">
        <v>182</v>
      </c>
      <c r="L48" s="21">
        <v>222364.36</v>
      </c>
      <c r="M48" s="21">
        <v>58090</v>
      </c>
      <c r="N48" s="22">
        <v>0.26123790700991834</v>
      </c>
      <c r="X48" s="27">
        <v>45139</v>
      </c>
      <c r="Y48" s="28">
        <v>660877.06999999518</v>
      </c>
      <c r="Z48" s="28">
        <v>528576.54840002465</v>
      </c>
    </row>
    <row r="49" spans="1:26" x14ac:dyDescent="0.3">
      <c r="A49" s="20" t="s">
        <v>216</v>
      </c>
      <c r="B49" s="21">
        <v>109705.12</v>
      </c>
      <c r="C49" s="21">
        <v>60368</v>
      </c>
      <c r="D49" s="23">
        <v>5488</v>
      </c>
      <c r="F49" s="20" t="s">
        <v>226</v>
      </c>
      <c r="G49" s="21">
        <v>258919.35</v>
      </c>
      <c r="H49" s="21">
        <v>67940</v>
      </c>
      <c r="K49" s="20" t="s">
        <v>183</v>
      </c>
      <c r="L49" s="21">
        <v>229698.27</v>
      </c>
      <c r="M49" s="21">
        <v>65787</v>
      </c>
      <c r="N49" s="22">
        <v>0.28640616231023419</v>
      </c>
      <c r="X49" s="27">
        <v>45170</v>
      </c>
      <c r="Y49" s="28">
        <v>658194.47999997868</v>
      </c>
      <c r="Z49" s="28">
        <v>632711.56319998554</v>
      </c>
    </row>
    <row r="50" spans="1:26" x14ac:dyDescent="0.3">
      <c r="A50" s="20" t="s">
        <v>218</v>
      </c>
      <c r="B50" s="21">
        <v>541629.52</v>
      </c>
      <c r="C50" s="21">
        <v>60248</v>
      </c>
      <c r="D50" s="23">
        <v>60248</v>
      </c>
      <c r="F50" s="20" t="s">
        <v>228</v>
      </c>
      <c r="G50" s="21">
        <v>242539.73</v>
      </c>
      <c r="H50" s="21">
        <v>66558</v>
      </c>
      <c r="K50" s="20" t="s">
        <v>184</v>
      </c>
      <c r="L50" s="21">
        <v>258210.66</v>
      </c>
      <c r="M50" s="21">
        <v>74221</v>
      </c>
      <c r="N50" s="22">
        <v>0.28744359353715299</v>
      </c>
      <c r="X50" s="27" t="s">
        <v>134</v>
      </c>
      <c r="Y50" s="28">
        <v>6962074.2699998254</v>
      </c>
      <c r="Z50" s="28">
        <v>5745725.1179999961</v>
      </c>
    </row>
    <row r="51" spans="1:26" x14ac:dyDescent="0.3">
      <c r="A51" s="20" t="s">
        <v>221</v>
      </c>
      <c r="B51" s="21">
        <v>305356.51</v>
      </c>
      <c r="C51" s="21">
        <v>58745</v>
      </c>
      <c r="D51" s="23">
        <v>11749</v>
      </c>
      <c r="F51" s="20" t="s">
        <v>249</v>
      </c>
      <c r="G51" s="21">
        <v>229698.27</v>
      </c>
      <c r="H51" s="21">
        <v>65787</v>
      </c>
      <c r="K51" s="20" t="s">
        <v>185</v>
      </c>
      <c r="L51" s="21">
        <v>265812.73</v>
      </c>
      <c r="M51" s="21">
        <v>75083</v>
      </c>
      <c r="N51" s="22">
        <v>0.28246577957346136</v>
      </c>
    </row>
    <row r="52" spans="1:26" x14ac:dyDescent="0.3">
      <c r="A52" s="20" t="s">
        <v>202</v>
      </c>
      <c r="B52" s="21">
        <v>135727.41</v>
      </c>
      <c r="C52" s="21">
        <v>45318</v>
      </c>
      <c r="D52" s="23">
        <v>22659</v>
      </c>
      <c r="F52" s="20" t="s">
        <v>238</v>
      </c>
      <c r="G52" s="21">
        <v>232097.72</v>
      </c>
      <c r="H52" s="21">
        <v>64399</v>
      </c>
      <c r="K52" s="20" t="s">
        <v>186</v>
      </c>
      <c r="L52" s="21">
        <v>344307.04</v>
      </c>
      <c r="M52" s="21">
        <v>88637</v>
      </c>
      <c r="N52" s="22">
        <v>0.25743592114758967</v>
      </c>
    </row>
    <row r="53" spans="1:26" x14ac:dyDescent="0.3">
      <c r="A53" s="20" t="s">
        <v>210</v>
      </c>
      <c r="B53" s="21">
        <v>85963.95</v>
      </c>
      <c r="C53" s="21">
        <v>43025</v>
      </c>
      <c r="D53" s="23">
        <v>8605</v>
      </c>
      <c r="F53" s="20" t="s">
        <v>243</v>
      </c>
      <c r="G53" s="21">
        <v>237676.15</v>
      </c>
      <c r="H53" s="21">
        <v>63989</v>
      </c>
      <c r="K53" s="20" t="s">
        <v>187</v>
      </c>
      <c r="L53" s="21">
        <v>229983.04</v>
      </c>
      <c r="M53" s="21">
        <v>59160</v>
      </c>
      <c r="N53" s="22">
        <v>0.25723635968982755</v>
      </c>
    </row>
    <row r="54" spans="1:26" x14ac:dyDescent="0.3">
      <c r="A54" s="20" t="s">
        <v>207</v>
      </c>
      <c r="B54" s="21">
        <v>66148.53</v>
      </c>
      <c r="C54" s="21">
        <v>42352</v>
      </c>
      <c r="D54" s="23">
        <v>2647</v>
      </c>
      <c r="F54" s="20" t="s">
        <v>232</v>
      </c>
      <c r="G54" s="21">
        <v>251160.91</v>
      </c>
      <c r="H54" s="21">
        <v>63959</v>
      </c>
      <c r="K54" s="20" t="s">
        <v>134</v>
      </c>
      <c r="L54" s="21">
        <v>14444572.35</v>
      </c>
      <c r="M54" s="21">
        <v>4014029</v>
      </c>
      <c r="N54" s="22">
        <v>0.27789185465224242</v>
      </c>
    </row>
    <row r="55" spans="1:26" x14ac:dyDescent="0.3">
      <c r="A55" s="20" t="s">
        <v>196</v>
      </c>
      <c r="B55" s="21">
        <v>420213.64</v>
      </c>
      <c r="C55" s="21">
        <v>38236</v>
      </c>
      <c r="D55" s="23">
        <v>38236</v>
      </c>
      <c r="F55" s="20" t="s">
        <v>233</v>
      </c>
      <c r="G55" s="21">
        <v>222318.78</v>
      </c>
      <c r="H55" s="21">
        <v>62673</v>
      </c>
      <c r="X55" s="19" t="s">
        <v>133</v>
      </c>
      <c r="Y55" t="s">
        <v>258</v>
      </c>
      <c r="Z55" t="s">
        <v>259</v>
      </c>
    </row>
    <row r="56" spans="1:26" x14ac:dyDescent="0.3">
      <c r="A56" s="20" t="s">
        <v>215</v>
      </c>
      <c r="B56" s="21">
        <v>45696.42</v>
      </c>
      <c r="C56" s="21">
        <v>29106</v>
      </c>
      <c r="D56" s="23">
        <v>4158</v>
      </c>
      <c r="F56" s="20" t="s">
        <v>242</v>
      </c>
      <c r="G56" s="21">
        <v>242154.36</v>
      </c>
      <c r="H56" s="21">
        <v>59618</v>
      </c>
      <c r="X56" s="27">
        <v>45200</v>
      </c>
      <c r="Y56" s="28">
        <v>698739.31679999433</v>
      </c>
      <c r="Z56" s="28">
        <v>205239.72436801594</v>
      </c>
    </row>
    <row r="57" spans="1:26" x14ac:dyDescent="0.3">
      <c r="A57" s="20" t="s">
        <v>213</v>
      </c>
      <c r="B57" s="21">
        <v>157387.01999999999</v>
      </c>
      <c r="C57" s="21">
        <v>25192</v>
      </c>
      <c r="D57" s="23">
        <v>6298</v>
      </c>
      <c r="F57" s="20" t="s">
        <v>252</v>
      </c>
      <c r="G57" s="21">
        <v>229983.04</v>
      </c>
      <c r="H57" s="21">
        <v>59160</v>
      </c>
      <c r="X57" s="27">
        <v>45231</v>
      </c>
      <c r="Y57" s="28">
        <v>740660.64800000587</v>
      </c>
      <c r="Z57" s="28">
        <v>221264.1888800193</v>
      </c>
    </row>
    <row r="58" spans="1:26" x14ac:dyDescent="0.3">
      <c r="A58" s="20" t="s">
        <v>214</v>
      </c>
      <c r="B58" s="21">
        <v>115408.72</v>
      </c>
      <c r="C58" s="21">
        <v>23128</v>
      </c>
      <c r="D58" s="23">
        <v>23128</v>
      </c>
      <c r="F58" s="20" t="s">
        <v>237</v>
      </c>
      <c r="G58" s="21">
        <v>210897.83</v>
      </c>
      <c r="H58" s="21">
        <v>57407</v>
      </c>
      <c r="X58" s="27">
        <v>45261</v>
      </c>
      <c r="Y58" s="28">
        <v>982468.13279997231</v>
      </c>
      <c r="Z58" s="28">
        <v>282675.96772794134</v>
      </c>
    </row>
    <row r="59" spans="1:26" x14ac:dyDescent="0.3">
      <c r="A59" s="20" t="s">
        <v>199</v>
      </c>
      <c r="B59" s="21">
        <v>91363.8</v>
      </c>
      <c r="C59" s="21">
        <v>22860</v>
      </c>
      <c r="D59" s="23">
        <v>7620</v>
      </c>
      <c r="F59" s="20" t="s">
        <v>230</v>
      </c>
      <c r="G59" s="21">
        <v>221587.26</v>
      </c>
      <c r="H59" s="21">
        <v>56811</v>
      </c>
      <c r="X59" s="27" t="s">
        <v>134</v>
      </c>
      <c r="Y59" s="28">
        <v>2421868.0975999725</v>
      </c>
      <c r="Z59" s="28">
        <v>709179.88097597659</v>
      </c>
    </row>
    <row r="60" spans="1:26" x14ac:dyDescent="0.3">
      <c r="A60" s="20" t="s">
        <v>219</v>
      </c>
      <c r="B60" s="21">
        <v>101827.07</v>
      </c>
      <c r="C60" s="21">
        <v>20379</v>
      </c>
      <c r="D60" s="23">
        <v>6793</v>
      </c>
      <c r="F60" s="20" t="s">
        <v>134</v>
      </c>
      <c r="G60" s="21">
        <v>14444572.35</v>
      </c>
      <c r="H60" s="21">
        <v>4014029</v>
      </c>
      <c r="K60" s="19" t="s">
        <v>133</v>
      </c>
      <c r="L60" t="s">
        <v>253</v>
      </c>
    </row>
    <row r="61" spans="1:26" x14ac:dyDescent="0.3">
      <c r="A61" s="20" t="s">
        <v>209</v>
      </c>
      <c r="B61" s="21">
        <v>67666.149999999994</v>
      </c>
      <c r="C61" s="21">
        <v>20310</v>
      </c>
      <c r="D61" s="23">
        <v>3385</v>
      </c>
      <c r="K61" s="20" t="s">
        <v>19</v>
      </c>
      <c r="L61" s="21">
        <v>99861.47</v>
      </c>
    </row>
    <row r="62" spans="1:26" x14ac:dyDescent="0.3">
      <c r="A62" s="20" t="s">
        <v>220</v>
      </c>
      <c r="B62" s="21">
        <v>83343.839999999997</v>
      </c>
      <c r="C62" s="21">
        <v>12832</v>
      </c>
      <c r="D62" s="23">
        <v>6416</v>
      </c>
      <c r="K62" s="20" t="s">
        <v>20</v>
      </c>
      <c r="L62" s="21">
        <v>65075.65</v>
      </c>
    </row>
    <row r="63" spans="1:26" x14ac:dyDescent="0.3">
      <c r="A63" s="20" t="s">
        <v>191</v>
      </c>
      <c r="B63" s="21">
        <v>49738.71</v>
      </c>
      <c r="C63" s="21">
        <v>11487</v>
      </c>
      <c r="D63" s="23">
        <v>3829</v>
      </c>
      <c r="K63" s="20" t="s">
        <v>23</v>
      </c>
      <c r="L63" s="21">
        <v>53077.19</v>
      </c>
    </row>
    <row r="64" spans="1:26" x14ac:dyDescent="0.3">
      <c r="A64" s="20" t="s">
        <v>222</v>
      </c>
      <c r="B64" s="21">
        <v>21652.9</v>
      </c>
      <c r="C64" s="21">
        <v>10840</v>
      </c>
      <c r="D64" s="23">
        <v>2710</v>
      </c>
      <c r="K64" s="20" t="s">
        <v>21</v>
      </c>
      <c r="L64" s="21">
        <v>51489.45</v>
      </c>
    </row>
    <row r="65" spans="1:12" x14ac:dyDescent="0.3">
      <c r="A65" s="20" t="s">
        <v>192</v>
      </c>
      <c r="B65" s="21">
        <v>44665.29</v>
      </c>
      <c r="C65" s="21">
        <v>8942</v>
      </c>
      <c r="D65" s="23">
        <v>4471</v>
      </c>
      <c r="K65" s="20" t="s">
        <v>22</v>
      </c>
      <c r="L65" s="21">
        <v>30705.82</v>
      </c>
    </row>
    <row r="66" spans="1:12" x14ac:dyDescent="0.3">
      <c r="A66" s="20" t="s">
        <v>134</v>
      </c>
      <c r="B66" s="21">
        <v>14444572.35</v>
      </c>
      <c r="C66" s="21">
        <v>4014029</v>
      </c>
      <c r="D66" s="23">
        <v>1090565</v>
      </c>
      <c r="K66" s="20" t="s">
        <v>134</v>
      </c>
      <c r="L66" s="21">
        <v>300209.58</v>
      </c>
    </row>
  </sheetData>
  <pageMargins left="0.7" right="0.7" top="0.75" bottom="0.75" header="0.3" footer="0.3"/>
  <pageSetup orientation="portrait" r:id="rId1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88432-8261-48F3-ACA7-13C08AB7786C}">
  <dimension ref="A1:M108"/>
  <sheetViews>
    <sheetView workbookViewId="0">
      <selection activeCell="J24" sqref="J24"/>
    </sheetView>
  </sheetViews>
  <sheetFormatPr defaultRowHeight="14.4" x14ac:dyDescent="0.3"/>
  <cols>
    <col min="1" max="1" width="6.88671875" bestFit="1" customWidth="1"/>
    <col min="2" max="2" width="17" bestFit="1" customWidth="1"/>
    <col min="3" max="3" width="15" bestFit="1" customWidth="1"/>
    <col min="4" max="4" width="14" bestFit="1" customWidth="1"/>
    <col min="5" max="5" width="13.6640625" bestFit="1" customWidth="1"/>
    <col min="6" max="6" width="18.21875" bestFit="1" customWidth="1"/>
    <col min="7" max="7" width="18.5546875" bestFit="1" customWidth="1"/>
    <col min="8" max="8" width="12.21875" bestFit="1" customWidth="1"/>
    <col min="9" max="9" width="15.88671875" bestFit="1" customWidth="1"/>
    <col min="10" max="10" width="12.109375" bestFit="1" customWidth="1"/>
    <col min="11" max="11" width="13.44140625" bestFit="1" customWidth="1"/>
    <col min="12" max="12" width="18.33203125" bestFit="1" customWidth="1"/>
    <col min="13" max="13" width="14.88671875" bestFit="1" customWidth="1"/>
  </cols>
  <sheetData>
    <row r="1" spans="1:13" x14ac:dyDescent="0.3">
      <c r="A1" t="s">
        <v>69</v>
      </c>
    </row>
    <row r="2" spans="1:13" x14ac:dyDescent="0.3">
      <c r="A2" t="s">
        <v>70</v>
      </c>
    </row>
    <row r="3" spans="1:13" x14ac:dyDescent="0.3">
      <c r="A3" t="s">
        <v>24</v>
      </c>
      <c r="B3" t="s">
        <v>25</v>
      </c>
      <c r="C3" t="s">
        <v>26</v>
      </c>
      <c r="D3" t="s">
        <v>27</v>
      </c>
      <c r="E3" t="s">
        <v>28</v>
      </c>
      <c r="F3" t="s">
        <v>29</v>
      </c>
      <c r="G3" t="s">
        <v>18</v>
      </c>
      <c r="H3" t="s">
        <v>67</v>
      </c>
      <c r="I3" t="s">
        <v>63</v>
      </c>
      <c r="J3" t="s">
        <v>64</v>
      </c>
      <c r="K3" t="s">
        <v>65</v>
      </c>
      <c r="L3" t="s">
        <v>68</v>
      </c>
      <c r="M3" t="s">
        <v>66</v>
      </c>
    </row>
    <row r="4" spans="1:13" x14ac:dyDescent="0.3">
      <c r="A4">
        <v>2022</v>
      </c>
      <c r="B4">
        <v>1</v>
      </c>
      <c r="C4" t="s">
        <v>30</v>
      </c>
      <c r="D4" s="4">
        <v>44562</v>
      </c>
      <c r="E4" t="s">
        <v>31</v>
      </c>
      <c r="F4">
        <v>202201</v>
      </c>
      <c r="G4" t="s">
        <v>21</v>
      </c>
      <c r="H4">
        <v>8802</v>
      </c>
      <c r="I4">
        <v>97575.980000007243</v>
      </c>
      <c r="J4">
        <v>69267.979999999123</v>
      </c>
      <c r="K4">
        <v>28308</v>
      </c>
      <c r="L4">
        <v>6875</v>
      </c>
      <c r="M4">
        <v>0.2901123821661632</v>
      </c>
    </row>
    <row r="5" spans="1:13" x14ac:dyDescent="0.3">
      <c r="A5">
        <v>2022</v>
      </c>
      <c r="B5">
        <v>1</v>
      </c>
      <c r="C5" t="s">
        <v>30</v>
      </c>
      <c r="D5" s="4">
        <v>44562</v>
      </c>
      <c r="E5" t="s">
        <v>31</v>
      </c>
      <c r="F5">
        <v>202201</v>
      </c>
      <c r="G5" t="s">
        <v>19</v>
      </c>
      <c r="H5">
        <v>10675</v>
      </c>
      <c r="I5">
        <v>191847.24999998781</v>
      </c>
      <c r="J5">
        <v>151386.250000006</v>
      </c>
      <c r="K5">
        <v>40461</v>
      </c>
      <c r="L5">
        <v>8907</v>
      </c>
      <c r="M5">
        <v>0.21090216304900161</v>
      </c>
    </row>
    <row r="6" spans="1:13" x14ac:dyDescent="0.3">
      <c r="A6">
        <v>2022</v>
      </c>
      <c r="B6">
        <v>1</v>
      </c>
      <c r="C6" t="s">
        <v>30</v>
      </c>
      <c r="D6" s="4">
        <v>44562</v>
      </c>
      <c r="E6" t="s">
        <v>31</v>
      </c>
      <c r="F6">
        <v>202201</v>
      </c>
      <c r="G6" t="s">
        <v>23</v>
      </c>
      <c r="H6">
        <v>5312</v>
      </c>
      <c r="I6">
        <v>74945.880000000689</v>
      </c>
      <c r="J6">
        <v>55536.879999998717</v>
      </c>
      <c r="K6">
        <v>19409</v>
      </c>
      <c r="L6">
        <v>4279</v>
      </c>
      <c r="M6">
        <v>0.25897354197455313</v>
      </c>
    </row>
    <row r="7" spans="1:13" x14ac:dyDescent="0.3">
      <c r="A7">
        <v>2022</v>
      </c>
      <c r="B7">
        <v>1</v>
      </c>
      <c r="C7" t="s">
        <v>30</v>
      </c>
      <c r="D7" s="4">
        <v>44562</v>
      </c>
      <c r="E7" t="s">
        <v>31</v>
      </c>
      <c r="F7">
        <v>202201</v>
      </c>
      <c r="G7" t="s">
        <v>20</v>
      </c>
      <c r="H7">
        <v>4282</v>
      </c>
      <c r="I7">
        <v>35097.180000002176</v>
      </c>
      <c r="J7">
        <v>25169.180000001408</v>
      </c>
      <c r="K7">
        <v>9928</v>
      </c>
      <c r="L7">
        <v>3701</v>
      </c>
      <c r="M7">
        <v>0.2828717292956125</v>
      </c>
    </row>
    <row r="8" spans="1:13" x14ac:dyDescent="0.3">
      <c r="A8">
        <v>2022</v>
      </c>
      <c r="B8">
        <v>1</v>
      </c>
      <c r="C8" t="s">
        <v>30</v>
      </c>
      <c r="D8" s="4">
        <v>44562</v>
      </c>
      <c r="E8" t="s">
        <v>31</v>
      </c>
      <c r="F8">
        <v>202201</v>
      </c>
      <c r="G8" t="s">
        <v>22</v>
      </c>
      <c r="H8">
        <v>8938</v>
      </c>
      <c r="I8">
        <v>143088.62000000791</v>
      </c>
      <c r="J8">
        <v>74068.620000000679</v>
      </c>
      <c r="K8">
        <v>69020</v>
      </c>
      <c r="L8">
        <v>5785</v>
      </c>
      <c r="M8">
        <v>0.48235841536522039</v>
      </c>
    </row>
    <row r="9" spans="1:13" x14ac:dyDescent="0.3">
      <c r="A9">
        <v>2022</v>
      </c>
      <c r="B9">
        <v>2</v>
      </c>
      <c r="C9" t="s">
        <v>32</v>
      </c>
      <c r="D9" s="4">
        <v>44593</v>
      </c>
      <c r="E9" t="s">
        <v>33</v>
      </c>
      <c r="F9">
        <v>202202</v>
      </c>
      <c r="G9" t="s">
        <v>23</v>
      </c>
      <c r="H9">
        <v>5451</v>
      </c>
      <c r="I9">
        <v>73338.490000000267</v>
      </c>
      <c r="J9">
        <v>55393.489999998295</v>
      </c>
      <c r="K9">
        <v>17945</v>
      </c>
      <c r="L9">
        <v>4448</v>
      </c>
      <c r="M9">
        <v>0.244687339485718</v>
      </c>
    </row>
    <row r="10" spans="1:13" x14ac:dyDescent="0.3">
      <c r="A10">
        <v>2022</v>
      </c>
      <c r="B10">
        <v>2</v>
      </c>
      <c r="C10" t="s">
        <v>32</v>
      </c>
      <c r="D10" s="4">
        <v>44593</v>
      </c>
      <c r="E10" t="s">
        <v>33</v>
      </c>
      <c r="F10">
        <v>202202</v>
      </c>
      <c r="G10" t="s">
        <v>21</v>
      </c>
      <c r="H10">
        <v>7898</v>
      </c>
      <c r="I10">
        <v>90147.020000005548</v>
      </c>
      <c r="J10">
        <v>64383.019999996875</v>
      </c>
      <c r="K10">
        <v>25764</v>
      </c>
      <c r="L10">
        <v>6061</v>
      </c>
      <c r="M10">
        <v>0.28579979682077583</v>
      </c>
    </row>
    <row r="11" spans="1:13" x14ac:dyDescent="0.3">
      <c r="A11">
        <v>2022</v>
      </c>
      <c r="B11">
        <v>2</v>
      </c>
      <c r="C11" t="s">
        <v>32</v>
      </c>
      <c r="D11" s="4">
        <v>44593</v>
      </c>
      <c r="E11" t="s">
        <v>33</v>
      </c>
      <c r="F11">
        <v>202202</v>
      </c>
      <c r="G11" t="s">
        <v>19</v>
      </c>
      <c r="H11">
        <v>10500</v>
      </c>
      <c r="I11">
        <v>210629.99999998862</v>
      </c>
      <c r="J11">
        <v>166894.00000000215</v>
      </c>
      <c r="K11">
        <v>43736</v>
      </c>
      <c r="L11">
        <v>8611</v>
      </c>
      <c r="M11">
        <v>0.20764373546029702</v>
      </c>
    </row>
    <row r="12" spans="1:13" x14ac:dyDescent="0.3">
      <c r="A12">
        <v>2022</v>
      </c>
      <c r="B12">
        <v>2</v>
      </c>
      <c r="C12" t="s">
        <v>32</v>
      </c>
      <c r="D12" s="4">
        <v>44593</v>
      </c>
      <c r="E12" t="s">
        <v>33</v>
      </c>
      <c r="F12">
        <v>202202</v>
      </c>
      <c r="G12" t="s">
        <v>22</v>
      </c>
      <c r="H12">
        <v>8359</v>
      </c>
      <c r="I12">
        <v>133353.41000001013</v>
      </c>
      <c r="J12">
        <v>68677.409999998839</v>
      </c>
      <c r="K12">
        <v>64676</v>
      </c>
      <c r="L12">
        <v>5684</v>
      </c>
      <c r="M12">
        <v>0.48499697158096733</v>
      </c>
    </row>
    <row r="13" spans="1:13" x14ac:dyDescent="0.3">
      <c r="A13">
        <v>2022</v>
      </c>
      <c r="B13">
        <v>2</v>
      </c>
      <c r="C13" t="s">
        <v>32</v>
      </c>
      <c r="D13" s="4">
        <v>44593</v>
      </c>
      <c r="E13" t="s">
        <v>33</v>
      </c>
      <c r="F13">
        <v>202202</v>
      </c>
      <c r="G13" t="s">
        <v>20</v>
      </c>
      <c r="H13">
        <v>4727</v>
      </c>
      <c r="I13">
        <v>33882.730000001829</v>
      </c>
      <c r="J13">
        <v>24142.730000001</v>
      </c>
      <c r="K13">
        <v>9740</v>
      </c>
      <c r="L13">
        <v>3847</v>
      </c>
      <c r="M13">
        <v>0.28746207876400381</v>
      </c>
    </row>
    <row r="14" spans="1:13" x14ac:dyDescent="0.3">
      <c r="A14">
        <v>2022</v>
      </c>
      <c r="B14">
        <v>3</v>
      </c>
      <c r="C14" t="s">
        <v>34</v>
      </c>
      <c r="D14" s="4">
        <v>44621</v>
      </c>
      <c r="E14" t="s">
        <v>35</v>
      </c>
      <c r="F14">
        <v>202203</v>
      </c>
      <c r="G14" t="s">
        <v>22</v>
      </c>
      <c r="H14">
        <v>8467</v>
      </c>
      <c r="I14">
        <v>133784.33000000942</v>
      </c>
      <c r="J14">
        <v>67920.329999998779</v>
      </c>
      <c r="K14">
        <v>65864</v>
      </c>
      <c r="L14">
        <v>5626</v>
      </c>
      <c r="M14">
        <v>0.49231475764011645</v>
      </c>
    </row>
    <row r="15" spans="1:13" x14ac:dyDescent="0.3">
      <c r="A15">
        <v>2022</v>
      </c>
      <c r="B15">
        <v>3</v>
      </c>
      <c r="C15" t="s">
        <v>34</v>
      </c>
      <c r="D15" s="4">
        <v>44621</v>
      </c>
      <c r="E15" t="s">
        <v>35</v>
      </c>
      <c r="F15">
        <v>202203</v>
      </c>
      <c r="G15" t="s">
        <v>21</v>
      </c>
      <c r="H15">
        <v>7745</v>
      </c>
      <c r="I15">
        <v>89526.550000005722</v>
      </c>
      <c r="J15">
        <v>64544.54999999734</v>
      </c>
      <c r="K15">
        <v>24982</v>
      </c>
      <c r="L15">
        <v>6059</v>
      </c>
      <c r="M15">
        <v>0.27904571325487693</v>
      </c>
    </row>
    <row r="16" spans="1:13" x14ac:dyDescent="0.3">
      <c r="A16">
        <v>2022</v>
      </c>
      <c r="B16">
        <v>3</v>
      </c>
      <c r="C16" t="s">
        <v>34</v>
      </c>
      <c r="D16" s="4">
        <v>44621</v>
      </c>
      <c r="E16" t="s">
        <v>35</v>
      </c>
      <c r="F16">
        <v>202203</v>
      </c>
      <c r="G16" t="s">
        <v>20</v>
      </c>
      <c r="H16">
        <v>6029</v>
      </c>
      <c r="I16">
        <v>51700.709999998682</v>
      </c>
      <c r="J16">
        <v>36401.710000001978</v>
      </c>
      <c r="K16">
        <v>15299</v>
      </c>
      <c r="L16">
        <v>4941</v>
      </c>
      <c r="M16">
        <v>0.29591469827010869</v>
      </c>
    </row>
    <row r="17" spans="1:13" x14ac:dyDescent="0.3">
      <c r="A17">
        <v>2022</v>
      </c>
      <c r="B17">
        <v>3</v>
      </c>
      <c r="C17" t="s">
        <v>34</v>
      </c>
      <c r="D17" s="4">
        <v>44621</v>
      </c>
      <c r="E17" t="s">
        <v>35</v>
      </c>
      <c r="F17">
        <v>202203</v>
      </c>
      <c r="G17" t="s">
        <v>23</v>
      </c>
      <c r="H17">
        <v>5944</v>
      </c>
      <c r="I17">
        <v>76744.560000001205</v>
      </c>
      <c r="J17">
        <v>59461.559999997538</v>
      </c>
      <c r="K17">
        <v>17283</v>
      </c>
      <c r="L17">
        <v>4833</v>
      </c>
      <c r="M17">
        <v>0.22520162992659973</v>
      </c>
    </row>
    <row r="18" spans="1:13" x14ac:dyDescent="0.3">
      <c r="A18">
        <v>2022</v>
      </c>
      <c r="B18">
        <v>3</v>
      </c>
      <c r="C18" t="s">
        <v>34</v>
      </c>
      <c r="D18" s="4">
        <v>44621</v>
      </c>
      <c r="E18" t="s">
        <v>35</v>
      </c>
      <c r="F18">
        <v>202203</v>
      </c>
      <c r="G18" t="s">
        <v>19</v>
      </c>
      <c r="H18">
        <v>11796</v>
      </c>
      <c r="I18">
        <v>237729.03999997338</v>
      </c>
      <c r="J18">
        <v>187165.03999999291</v>
      </c>
      <c r="K18">
        <v>50564</v>
      </c>
      <c r="L18">
        <v>9917</v>
      </c>
      <c r="M18">
        <v>0.21269593315148061</v>
      </c>
    </row>
    <row r="19" spans="1:13" x14ac:dyDescent="0.3">
      <c r="A19">
        <v>2022</v>
      </c>
      <c r="B19">
        <v>4</v>
      </c>
      <c r="C19" t="s">
        <v>36</v>
      </c>
      <c r="D19" s="4">
        <v>44652</v>
      </c>
      <c r="E19" t="s">
        <v>37</v>
      </c>
      <c r="F19">
        <v>202204</v>
      </c>
      <c r="G19" t="s">
        <v>23</v>
      </c>
      <c r="H19">
        <v>8382</v>
      </c>
      <c r="I19">
        <v>103733.18000000788</v>
      </c>
      <c r="J19">
        <v>81285.180000002845</v>
      </c>
      <c r="K19">
        <v>22448</v>
      </c>
      <c r="L19">
        <v>6156</v>
      </c>
      <c r="M19">
        <v>0.21640134815107659</v>
      </c>
    </row>
    <row r="20" spans="1:13" x14ac:dyDescent="0.3">
      <c r="A20">
        <v>2022</v>
      </c>
      <c r="B20">
        <v>4</v>
      </c>
      <c r="C20" t="s">
        <v>36</v>
      </c>
      <c r="D20" s="4">
        <v>44652</v>
      </c>
      <c r="E20" t="s">
        <v>37</v>
      </c>
      <c r="F20">
        <v>202204</v>
      </c>
      <c r="G20" t="s">
        <v>21</v>
      </c>
      <c r="H20">
        <v>9091</v>
      </c>
      <c r="I20">
        <v>100164.09000000841</v>
      </c>
      <c r="J20">
        <v>71763.08999999777</v>
      </c>
      <c r="K20">
        <v>28401</v>
      </c>
      <c r="L20">
        <v>7253</v>
      </c>
      <c r="M20">
        <v>0.28354473145013964</v>
      </c>
    </row>
    <row r="21" spans="1:13" x14ac:dyDescent="0.3">
      <c r="A21">
        <v>2022</v>
      </c>
      <c r="B21">
        <v>4</v>
      </c>
      <c r="C21" t="s">
        <v>36</v>
      </c>
      <c r="D21" s="4">
        <v>44652</v>
      </c>
      <c r="E21" t="s">
        <v>37</v>
      </c>
      <c r="F21">
        <v>202204</v>
      </c>
      <c r="G21" t="s">
        <v>20</v>
      </c>
      <c r="H21">
        <v>7296</v>
      </c>
      <c r="I21">
        <v>65344.039999997287</v>
      </c>
      <c r="J21">
        <v>46093.039999999841</v>
      </c>
      <c r="K21">
        <v>19251</v>
      </c>
      <c r="L21">
        <v>5993</v>
      </c>
      <c r="M21">
        <v>0.29460988331913363</v>
      </c>
    </row>
    <row r="22" spans="1:13" x14ac:dyDescent="0.3">
      <c r="A22">
        <v>2022</v>
      </c>
      <c r="B22">
        <v>4</v>
      </c>
      <c r="C22" t="s">
        <v>36</v>
      </c>
      <c r="D22" s="4">
        <v>44652</v>
      </c>
      <c r="E22" t="s">
        <v>37</v>
      </c>
      <c r="F22">
        <v>202204</v>
      </c>
      <c r="G22" t="s">
        <v>22</v>
      </c>
      <c r="H22">
        <v>8024</v>
      </c>
      <c r="I22">
        <v>128606.76000000973</v>
      </c>
      <c r="J22">
        <v>66685.759999998685</v>
      </c>
      <c r="K22">
        <v>61921</v>
      </c>
      <c r="L22">
        <v>5309</v>
      </c>
      <c r="M22">
        <v>0.48147546831904725</v>
      </c>
    </row>
    <row r="23" spans="1:13" x14ac:dyDescent="0.3">
      <c r="A23">
        <v>2022</v>
      </c>
      <c r="B23">
        <v>4</v>
      </c>
      <c r="C23" t="s">
        <v>36</v>
      </c>
      <c r="D23" s="4">
        <v>44652</v>
      </c>
      <c r="E23" t="s">
        <v>37</v>
      </c>
      <c r="F23">
        <v>202204</v>
      </c>
      <c r="G23" t="s">
        <v>19</v>
      </c>
      <c r="H23">
        <v>14309</v>
      </c>
      <c r="I23">
        <v>283224.90999996359</v>
      </c>
      <c r="J23">
        <v>225146.90999998368</v>
      </c>
      <c r="K23">
        <v>58078</v>
      </c>
      <c r="L23">
        <v>11005</v>
      </c>
      <c r="M23">
        <v>0.20505964676626595</v>
      </c>
    </row>
    <row r="24" spans="1:13" x14ac:dyDescent="0.3">
      <c r="A24">
        <v>2022</v>
      </c>
      <c r="B24">
        <v>5</v>
      </c>
      <c r="C24" t="s">
        <v>38</v>
      </c>
      <c r="D24" s="4">
        <v>44682</v>
      </c>
      <c r="E24" t="s">
        <v>39</v>
      </c>
      <c r="F24">
        <v>202205</v>
      </c>
      <c r="G24" t="s">
        <v>19</v>
      </c>
      <c r="H24">
        <v>16145</v>
      </c>
      <c r="I24">
        <v>299615.54999994906</v>
      </c>
      <c r="J24">
        <v>241027.54999996559</v>
      </c>
      <c r="K24">
        <v>58588</v>
      </c>
      <c r="L24">
        <v>13212</v>
      </c>
      <c r="M24">
        <v>0.19554392287052511</v>
      </c>
    </row>
    <row r="25" spans="1:13" x14ac:dyDescent="0.3">
      <c r="A25">
        <v>2022</v>
      </c>
      <c r="B25">
        <v>5</v>
      </c>
      <c r="C25" t="s">
        <v>38</v>
      </c>
      <c r="D25" s="4">
        <v>44682</v>
      </c>
      <c r="E25" t="s">
        <v>39</v>
      </c>
      <c r="F25">
        <v>202205</v>
      </c>
      <c r="G25" t="s">
        <v>20</v>
      </c>
      <c r="H25">
        <v>7713</v>
      </c>
      <c r="I25">
        <v>70988.869999999792</v>
      </c>
      <c r="J25">
        <v>51431.869999999573</v>
      </c>
      <c r="K25">
        <v>19557</v>
      </c>
      <c r="L25">
        <v>6232</v>
      </c>
      <c r="M25">
        <v>0.275493890802883</v>
      </c>
    </row>
    <row r="26" spans="1:13" x14ac:dyDescent="0.3">
      <c r="A26">
        <v>2022</v>
      </c>
      <c r="B26">
        <v>5</v>
      </c>
      <c r="C26" t="s">
        <v>38</v>
      </c>
      <c r="D26" s="4">
        <v>44682</v>
      </c>
      <c r="E26" t="s">
        <v>39</v>
      </c>
      <c r="F26">
        <v>202205</v>
      </c>
      <c r="G26" t="s">
        <v>21</v>
      </c>
      <c r="H26">
        <v>8139</v>
      </c>
      <c r="I26">
        <v>89197.610000005414</v>
      </c>
      <c r="J26">
        <v>60569.60999999661</v>
      </c>
      <c r="K26">
        <v>28628</v>
      </c>
      <c r="L26">
        <v>6769</v>
      </c>
      <c r="M26">
        <v>0.32095030348905385</v>
      </c>
    </row>
    <row r="27" spans="1:13" x14ac:dyDescent="0.3">
      <c r="A27">
        <v>2022</v>
      </c>
      <c r="B27">
        <v>5</v>
      </c>
      <c r="C27" t="s">
        <v>38</v>
      </c>
      <c r="D27" s="4">
        <v>44682</v>
      </c>
      <c r="E27" t="s">
        <v>39</v>
      </c>
      <c r="F27">
        <v>202205</v>
      </c>
      <c r="G27" t="s">
        <v>22</v>
      </c>
      <c r="H27">
        <v>7496</v>
      </c>
      <c r="I27">
        <v>118107.04000000848</v>
      </c>
      <c r="J27">
        <v>59705.03999999864</v>
      </c>
      <c r="K27">
        <v>58402</v>
      </c>
      <c r="L27">
        <v>5160</v>
      </c>
      <c r="M27">
        <v>0.49448364805345901</v>
      </c>
    </row>
    <row r="28" spans="1:13" x14ac:dyDescent="0.3">
      <c r="A28">
        <v>2022</v>
      </c>
      <c r="B28">
        <v>5</v>
      </c>
      <c r="C28" t="s">
        <v>38</v>
      </c>
      <c r="D28" s="4">
        <v>44682</v>
      </c>
      <c r="E28" t="s">
        <v>39</v>
      </c>
      <c r="F28">
        <v>202205</v>
      </c>
      <c r="G28" t="s">
        <v>23</v>
      </c>
      <c r="H28">
        <v>7417</v>
      </c>
      <c r="I28">
        <v>94460.830000006827</v>
      </c>
      <c r="J28">
        <v>72741.830000000758</v>
      </c>
      <c r="K28">
        <v>21719</v>
      </c>
      <c r="L28">
        <v>5691</v>
      </c>
      <c r="M28">
        <v>0.22992599154589718</v>
      </c>
    </row>
    <row r="29" spans="1:13" x14ac:dyDescent="0.3">
      <c r="A29">
        <v>2022</v>
      </c>
      <c r="B29">
        <v>6</v>
      </c>
      <c r="C29" t="s">
        <v>40</v>
      </c>
      <c r="D29" s="4">
        <v>44713</v>
      </c>
      <c r="E29" t="s">
        <v>41</v>
      </c>
      <c r="F29">
        <v>202206</v>
      </c>
      <c r="G29" t="s">
        <v>22</v>
      </c>
      <c r="H29">
        <v>7217</v>
      </c>
      <c r="I29">
        <v>116003.83000000712</v>
      </c>
      <c r="J29">
        <v>60400.829999998845</v>
      </c>
      <c r="K29">
        <v>55603</v>
      </c>
      <c r="L29">
        <v>5043</v>
      </c>
      <c r="M29">
        <v>0.47932038105980285</v>
      </c>
    </row>
    <row r="30" spans="1:13" x14ac:dyDescent="0.3">
      <c r="A30">
        <v>2022</v>
      </c>
      <c r="B30">
        <v>6</v>
      </c>
      <c r="C30" t="s">
        <v>40</v>
      </c>
      <c r="D30" s="4">
        <v>44713</v>
      </c>
      <c r="E30" t="s">
        <v>41</v>
      </c>
      <c r="F30">
        <v>202206</v>
      </c>
      <c r="G30" t="s">
        <v>23</v>
      </c>
      <c r="H30">
        <v>10145</v>
      </c>
      <c r="I30">
        <v>120866.55000001031</v>
      </c>
      <c r="J30">
        <v>96768.550000007075</v>
      </c>
      <c r="K30">
        <v>24098</v>
      </c>
      <c r="L30">
        <v>6538</v>
      </c>
      <c r="M30">
        <v>0.19937691611118166</v>
      </c>
    </row>
    <row r="31" spans="1:13" x14ac:dyDescent="0.3">
      <c r="A31">
        <v>2022</v>
      </c>
      <c r="B31">
        <v>6</v>
      </c>
      <c r="C31" t="s">
        <v>40</v>
      </c>
      <c r="D31" s="4">
        <v>44713</v>
      </c>
      <c r="E31" t="s">
        <v>41</v>
      </c>
      <c r="F31">
        <v>202206</v>
      </c>
      <c r="G31" t="s">
        <v>21</v>
      </c>
      <c r="H31">
        <v>9228</v>
      </c>
      <c r="I31">
        <v>102313.72000001013</v>
      </c>
      <c r="J31">
        <v>67852.719999998561</v>
      </c>
      <c r="K31">
        <v>34461</v>
      </c>
      <c r="L31">
        <v>7398</v>
      </c>
      <c r="M31">
        <v>0.33681699775940693</v>
      </c>
    </row>
    <row r="32" spans="1:13" x14ac:dyDescent="0.3">
      <c r="A32">
        <v>2022</v>
      </c>
      <c r="B32">
        <v>6</v>
      </c>
      <c r="C32" t="s">
        <v>40</v>
      </c>
      <c r="D32" s="4">
        <v>44713</v>
      </c>
      <c r="E32" t="s">
        <v>41</v>
      </c>
      <c r="F32">
        <v>202206</v>
      </c>
      <c r="G32" t="s">
        <v>19</v>
      </c>
      <c r="H32">
        <v>12600</v>
      </c>
      <c r="I32">
        <v>259739.99999996679</v>
      </c>
      <c r="J32">
        <v>200865.99999998085</v>
      </c>
      <c r="K32">
        <v>58874</v>
      </c>
      <c r="L32">
        <v>10483</v>
      </c>
      <c r="M32">
        <v>0.22666512666515565</v>
      </c>
    </row>
    <row r="33" spans="1:13" x14ac:dyDescent="0.3">
      <c r="A33">
        <v>2022</v>
      </c>
      <c r="B33">
        <v>6</v>
      </c>
      <c r="C33" t="s">
        <v>40</v>
      </c>
      <c r="D33" s="4">
        <v>44713</v>
      </c>
      <c r="E33" t="s">
        <v>41</v>
      </c>
      <c r="F33">
        <v>202206</v>
      </c>
      <c r="G33" t="s">
        <v>20</v>
      </c>
      <c r="H33">
        <v>7988</v>
      </c>
      <c r="I33">
        <v>63056.119999997871</v>
      </c>
      <c r="J33">
        <v>46277.119999999712</v>
      </c>
      <c r="K33">
        <v>16779</v>
      </c>
      <c r="L33">
        <v>6053</v>
      </c>
      <c r="M33">
        <v>0.26609629644197214</v>
      </c>
    </row>
    <row r="34" spans="1:13" x14ac:dyDescent="0.3">
      <c r="A34">
        <v>2022</v>
      </c>
      <c r="B34">
        <v>7</v>
      </c>
      <c r="C34" t="s">
        <v>42</v>
      </c>
      <c r="D34" s="4">
        <v>44743</v>
      </c>
      <c r="E34" t="s">
        <v>43</v>
      </c>
      <c r="F34">
        <v>202207</v>
      </c>
      <c r="G34" t="s">
        <v>19</v>
      </c>
      <c r="H34">
        <v>9796</v>
      </c>
      <c r="I34">
        <v>146409.0400000092</v>
      </c>
      <c r="J34">
        <v>102865.04000001191</v>
      </c>
      <c r="K34">
        <v>43544</v>
      </c>
      <c r="L34">
        <v>8443</v>
      </c>
      <c r="M34">
        <v>0.29741332912228141</v>
      </c>
    </row>
    <row r="35" spans="1:13" x14ac:dyDescent="0.3">
      <c r="A35">
        <v>2022</v>
      </c>
      <c r="B35">
        <v>7</v>
      </c>
      <c r="C35" t="s">
        <v>42</v>
      </c>
      <c r="D35" s="4">
        <v>44743</v>
      </c>
      <c r="E35" t="s">
        <v>43</v>
      </c>
      <c r="F35">
        <v>202207</v>
      </c>
      <c r="G35" t="s">
        <v>21</v>
      </c>
      <c r="H35">
        <v>9379</v>
      </c>
      <c r="I35">
        <v>99782.210000009116</v>
      </c>
      <c r="J35">
        <v>64375.209999996427</v>
      </c>
      <c r="K35">
        <v>35407</v>
      </c>
      <c r="L35">
        <v>7919</v>
      </c>
      <c r="M35">
        <v>0.35484281216057217</v>
      </c>
    </row>
    <row r="36" spans="1:13" x14ac:dyDescent="0.3">
      <c r="A36">
        <v>2022</v>
      </c>
      <c r="B36">
        <v>7</v>
      </c>
      <c r="C36" t="s">
        <v>42</v>
      </c>
      <c r="D36" s="4">
        <v>44743</v>
      </c>
      <c r="E36" t="s">
        <v>43</v>
      </c>
      <c r="F36">
        <v>202207</v>
      </c>
      <c r="G36" t="s">
        <v>20</v>
      </c>
      <c r="H36">
        <v>8650</v>
      </c>
      <c r="I36">
        <v>65651.499999998108</v>
      </c>
      <c r="J36">
        <v>48982.500000000196</v>
      </c>
      <c r="K36">
        <v>16669</v>
      </c>
      <c r="L36">
        <v>6299</v>
      </c>
      <c r="M36">
        <v>0.25390128176813143</v>
      </c>
    </row>
    <row r="37" spans="1:13" x14ac:dyDescent="0.3">
      <c r="A37">
        <v>2022</v>
      </c>
      <c r="B37">
        <v>7</v>
      </c>
      <c r="C37" t="s">
        <v>42</v>
      </c>
      <c r="D37" s="4">
        <v>44743</v>
      </c>
      <c r="E37" t="s">
        <v>43</v>
      </c>
      <c r="F37">
        <v>202207</v>
      </c>
      <c r="G37" t="s">
        <v>23</v>
      </c>
      <c r="H37">
        <v>11141</v>
      </c>
      <c r="I37">
        <v>129568.59000001199</v>
      </c>
      <c r="J37">
        <v>104088.59000000852</v>
      </c>
      <c r="K37">
        <v>25480</v>
      </c>
      <c r="L37">
        <v>7167</v>
      </c>
      <c r="M37">
        <v>0.19665259921403516</v>
      </c>
    </row>
    <row r="38" spans="1:13" x14ac:dyDescent="0.3">
      <c r="A38">
        <v>2022</v>
      </c>
      <c r="B38">
        <v>7</v>
      </c>
      <c r="C38" t="s">
        <v>42</v>
      </c>
      <c r="D38" s="4">
        <v>44743</v>
      </c>
      <c r="E38" t="s">
        <v>43</v>
      </c>
      <c r="F38">
        <v>202207</v>
      </c>
      <c r="G38" t="s">
        <v>22</v>
      </c>
      <c r="H38">
        <v>7211</v>
      </c>
      <c r="I38">
        <v>114622.89000000834</v>
      </c>
      <c r="J38">
        <v>58800.889999998501</v>
      </c>
      <c r="K38">
        <v>55822</v>
      </c>
      <c r="L38">
        <v>5087</v>
      </c>
      <c r="M38">
        <v>0.48700569319091447</v>
      </c>
    </row>
    <row r="39" spans="1:13" x14ac:dyDescent="0.3">
      <c r="A39">
        <v>2022</v>
      </c>
      <c r="B39">
        <v>8</v>
      </c>
      <c r="C39" t="s">
        <v>44</v>
      </c>
      <c r="D39" s="4">
        <v>44774</v>
      </c>
      <c r="E39" t="s">
        <v>45</v>
      </c>
      <c r="F39">
        <v>202208</v>
      </c>
      <c r="G39" t="s">
        <v>20</v>
      </c>
      <c r="H39">
        <v>8777</v>
      </c>
      <c r="I39">
        <v>57055.229999998344</v>
      </c>
      <c r="J39">
        <v>41607.230000001044</v>
      </c>
      <c r="K39">
        <v>15448</v>
      </c>
      <c r="L39">
        <v>6417</v>
      </c>
      <c r="M39">
        <v>0.27075519632469186</v>
      </c>
    </row>
    <row r="40" spans="1:13" x14ac:dyDescent="0.3">
      <c r="A40">
        <v>2022</v>
      </c>
      <c r="B40">
        <v>8</v>
      </c>
      <c r="C40" t="s">
        <v>44</v>
      </c>
      <c r="D40" s="4">
        <v>44774</v>
      </c>
      <c r="E40" t="s">
        <v>45</v>
      </c>
      <c r="F40">
        <v>202208</v>
      </c>
      <c r="G40" t="s">
        <v>23</v>
      </c>
      <c r="H40">
        <v>7551</v>
      </c>
      <c r="I40">
        <v>89408.490000004444</v>
      </c>
      <c r="J40">
        <v>70852.48999999986</v>
      </c>
      <c r="K40">
        <v>18556</v>
      </c>
      <c r="L40">
        <v>5688</v>
      </c>
      <c r="M40">
        <v>0.20754181174516065</v>
      </c>
    </row>
    <row r="41" spans="1:13" x14ac:dyDescent="0.3">
      <c r="A41">
        <v>2022</v>
      </c>
      <c r="B41">
        <v>8</v>
      </c>
      <c r="C41" t="s">
        <v>44</v>
      </c>
      <c r="D41" s="4">
        <v>44774</v>
      </c>
      <c r="E41" t="s">
        <v>45</v>
      </c>
      <c r="F41">
        <v>202208</v>
      </c>
      <c r="G41" t="s">
        <v>19</v>
      </c>
      <c r="H41">
        <v>8545</v>
      </c>
      <c r="I41">
        <v>140612.55000000892</v>
      </c>
      <c r="J41">
        <v>101506.55000000708</v>
      </c>
      <c r="K41">
        <v>39106</v>
      </c>
      <c r="L41">
        <v>7371</v>
      </c>
      <c r="M41">
        <v>0.27811173326987898</v>
      </c>
    </row>
    <row r="42" spans="1:13" x14ac:dyDescent="0.3">
      <c r="A42">
        <v>2022</v>
      </c>
      <c r="B42">
        <v>8</v>
      </c>
      <c r="C42" t="s">
        <v>44</v>
      </c>
      <c r="D42" s="4">
        <v>44774</v>
      </c>
      <c r="E42" t="s">
        <v>45</v>
      </c>
      <c r="F42">
        <v>202208</v>
      </c>
      <c r="G42" t="s">
        <v>22</v>
      </c>
      <c r="H42">
        <v>7594</v>
      </c>
      <c r="I42">
        <v>122930.06000000845</v>
      </c>
      <c r="J42">
        <v>64978.059999998659</v>
      </c>
      <c r="K42">
        <v>57952</v>
      </c>
      <c r="L42">
        <v>5364</v>
      </c>
      <c r="M42">
        <v>0.47142253082765939</v>
      </c>
    </row>
    <row r="43" spans="1:13" x14ac:dyDescent="0.3">
      <c r="A43">
        <v>2022</v>
      </c>
      <c r="B43">
        <v>8</v>
      </c>
      <c r="C43" t="s">
        <v>44</v>
      </c>
      <c r="D43" s="4">
        <v>44774</v>
      </c>
      <c r="E43" t="s">
        <v>45</v>
      </c>
      <c r="F43">
        <v>202208</v>
      </c>
      <c r="G43" t="s">
        <v>21</v>
      </c>
      <c r="H43">
        <v>7460</v>
      </c>
      <c r="I43">
        <v>79416.400000002657</v>
      </c>
      <c r="J43">
        <v>51547.39999999795</v>
      </c>
      <c r="K43">
        <v>27869</v>
      </c>
      <c r="L43">
        <v>6464</v>
      </c>
      <c r="M43">
        <v>0.35092247948785221</v>
      </c>
    </row>
    <row r="44" spans="1:13" x14ac:dyDescent="0.3">
      <c r="A44">
        <v>2022</v>
      </c>
      <c r="B44">
        <v>9</v>
      </c>
      <c r="C44" t="s">
        <v>46</v>
      </c>
      <c r="D44" s="4">
        <v>44805</v>
      </c>
      <c r="E44" t="s">
        <v>47</v>
      </c>
      <c r="F44">
        <v>202209</v>
      </c>
      <c r="G44" t="s">
        <v>19</v>
      </c>
      <c r="H44">
        <v>10735</v>
      </c>
      <c r="I44">
        <v>249961.64999997537</v>
      </c>
      <c r="J44">
        <v>199605.64999998771</v>
      </c>
      <c r="K44">
        <v>50356</v>
      </c>
      <c r="L44">
        <v>9304</v>
      </c>
      <c r="M44">
        <v>0.20145490318216799</v>
      </c>
    </row>
    <row r="45" spans="1:13" x14ac:dyDescent="0.3">
      <c r="A45">
        <v>2022</v>
      </c>
      <c r="B45">
        <v>9</v>
      </c>
      <c r="C45" t="s">
        <v>46</v>
      </c>
      <c r="D45" s="4">
        <v>44805</v>
      </c>
      <c r="E45" t="s">
        <v>47</v>
      </c>
      <c r="F45">
        <v>202209</v>
      </c>
      <c r="G45" t="s">
        <v>20</v>
      </c>
      <c r="H45">
        <v>11411</v>
      </c>
      <c r="I45">
        <v>68369.890000000087</v>
      </c>
      <c r="J45">
        <v>46380.890000000356</v>
      </c>
      <c r="K45">
        <v>21989</v>
      </c>
      <c r="L45">
        <v>7912</v>
      </c>
      <c r="M45">
        <v>0.32161818601726538</v>
      </c>
    </row>
    <row r="46" spans="1:13" x14ac:dyDescent="0.3">
      <c r="A46">
        <v>2022</v>
      </c>
      <c r="B46">
        <v>9</v>
      </c>
      <c r="C46" t="s">
        <v>46</v>
      </c>
      <c r="D46" s="4">
        <v>44805</v>
      </c>
      <c r="E46" t="s">
        <v>47</v>
      </c>
      <c r="F46">
        <v>202209</v>
      </c>
      <c r="G46" t="s">
        <v>23</v>
      </c>
      <c r="H46">
        <v>6139</v>
      </c>
      <c r="I46">
        <v>78698.610000001863</v>
      </c>
      <c r="J46">
        <v>60663.609999998633</v>
      </c>
      <c r="K46">
        <v>18035</v>
      </c>
      <c r="L46">
        <v>4812</v>
      </c>
      <c r="M46">
        <v>0.22916541982125951</v>
      </c>
    </row>
    <row r="47" spans="1:13" x14ac:dyDescent="0.3">
      <c r="A47">
        <v>2022</v>
      </c>
      <c r="B47">
        <v>9</v>
      </c>
      <c r="C47" t="s">
        <v>46</v>
      </c>
      <c r="D47" s="4">
        <v>44805</v>
      </c>
      <c r="E47" t="s">
        <v>47</v>
      </c>
      <c r="F47">
        <v>202209</v>
      </c>
      <c r="G47" t="s">
        <v>22</v>
      </c>
      <c r="H47">
        <v>6421</v>
      </c>
      <c r="I47">
        <v>106980.79000000619</v>
      </c>
      <c r="J47">
        <v>58950.789999998749</v>
      </c>
      <c r="K47">
        <v>48030</v>
      </c>
      <c r="L47">
        <v>4787</v>
      </c>
      <c r="M47">
        <v>0.44895910751824902</v>
      </c>
    </row>
    <row r="48" spans="1:13" x14ac:dyDescent="0.3">
      <c r="A48">
        <v>2022</v>
      </c>
      <c r="B48">
        <v>9</v>
      </c>
      <c r="C48" t="s">
        <v>46</v>
      </c>
      <c r="D48" s="4">
        <v>44805</v>
      </c>
      <c r="E48" t="s">
        <v>47</v>
      </c>
      <c r="F48">
        <v>202209</v>
      </c>
      <c r="G48" t="s">
        <v>21</v>
      </c>
      <c r="H48">
        <v>7490</v>
      </c>
      <c r="I48">
        <v>81833.100000002989</v>
      </c>
      <c r="J48">
        <v>53846.099999999125</v>
      </c>
      <c r="K48">
        <v>27987</v>
      </c>
      <c r="L48">
        <v>6152</v>
      </c>
      <c r="M48">
        <v>0.34200097515551747</v>
      </c>
    </row>
    <row r="49" spans="1:13" x14ac:dyDescent="0.3">
      <c r="A49">
        <v>2022</v>
      </c>
      <c r="B49">
        <v>10</v>
      </c>
      <c r="C49" t="s">
        <v>48</v>
      </c>
      <c r="D49" s="4">
        <v>44835</v>
      </c>
      <c r="E49" t="s">
        <v>49</v>
      </c>
      <c r="F49">
        <v>202210</v>
      </c>
      <c r="G49" t="s">
        <v>20</v>
      </c>
      <c r="H49">
        <v>15310</v>
      </c>
      <c r="I49">
        <v>85597.900000005873</v>
      </c>
      <c r="J49">
        <v>55840.899999999172</v>
      </c>
      <c r="K49">
        <v>29757</v>
      </c>
      <c r="L49">
        <v>9781</v>
      </c>
      <c r="M49">
        <v>0.34763703315149036</v>
      </c>
    </row>
    <row r="50" spans="1:13" x14ac:dyDescent="0.3">
      <c r="A50">
        <v>2022</v>
      </c>
      <c r="B50">
        <v>10</v>
      </c>
      <c r="C50" t="s">
        <v>48</v>
      </c>
      <c r="D50" s="4">
        <v>44835</v>
      </c>
      <c r="E50" t="s">
        <v>49</v>
      </c>
      <c r="F50">
        <v>202210</v>
      </c>
      <c r="G50" t="s">
        <v>21</v>
      </c>
      <c r="H50">
        <v>8861</v>
      </c>
      <c r="I50">
        <v>104525.39000001046</v>
      </c>
      <c r="J50">
        <v>73210.390000000174</v>
      </c>
      <c r="K50">
        <v>31315</v>
      </c>
      <c r="L50">
        <v>7470</v>
      </c>
      <c r="M50">
        <v>0.29959228088024226</v>
      </c>
    </row>
    <row r="51" spans="1:13" x14ac:dyDescent="0.3">
      <c r="A51">
        <v>2022</v>
      </c>
      <c r="B51">
        <v>10</v>
      </c>
      <c r="C51" t="s">
        <v>48</v>
      </c>
      <c r="D51" s="4">
        <v>44835</v>
      </c>
      <c r="E51" t="s">
        <v>49</v>
      </c>
      <c r="F51">
        <v>202210</v>
      </c>
      <c r="G51" t="s">
        <v>22</v>
      </c>
      <c r="H51">
        <v>6635</v>
      </c>
      <c r="I51">
        <v>113795.65000000678</v>
      </c>
      <c r="J51">
        <v>65120.649999998808</v>
      </c>
      <c r="K51">
        <v>48675</v>
      </c>
      <c r="L51">
        <v>4953</v>
      </c>
      <c r="M51">
        <v>0.42774042768767612</v>
      </c>
    </row>
    <row r="52" spans="1:13" x14ac:dyDescent="0.3">
      <c r="A52">
        <v>2022</v>
      </c>
      <c r="B52">
        <v>10</v>
      </c>
      <c r="C52" t="s">
        <v>48</v>
      </c>
      <c r="D52" s="4">
        <v>44835</v>
      </c>
      <c r="E52" t="s">
        <v>49</v>
      </c>
      <c r="F52">
        <v>202210</v>
      </c>
      <c r="G52" t="s">
        <v>19</v>
      </c>
      <c r="H52">
        <v>11506</v>
      </c>
      <c r="I52">
        <v>248597.93999997232</v>
      </c>
      <c r="J52">
        <v>196606.93999998359</v>
      </c>
      <c r="K52">
        <v>51991</v>
      </c>
      <c r="L52">
        <v>9676</v>
      </c>
      <c r="M52">
        <v>0.20913688987127482</v>
      </c>
    </row>
    <row r="53" spans="1:13" x14ac:dyDescent="0.3">
      <c r="A53">
        <v>2022</v>
      </c>
      <c r="B53">
        <v>10</v>
      </c>
      <c r="C53" t="s">
        <v>48</v>
      </c>
      <c r="D53" s="4">
        <v>44835</v>
      </c>
      <c r="E53" t="s">
        <v>49</v>
      </c>
      <c r="F53">
        <v>202210</v>
      </c>
      <c r="G53" t="s">
        <v>23</v>
      </c>
      <c r="H53">
        <v>5549</v>
      </c>
      <c r="I53">
        <v>71357.509999999354</v>
      </c>
      <c r="J53">
        <v>54296.509999998656</v>
      </c>
      <c r="K53">
        <v>17061</v>
      </c>
      <c r="L53">
        <v>4571</v>
      </c>
      <c r="M53">
        <v>0.23909186293075746</v>
      </c>
    </row>
    <row r="54" spans="1:13" x14ac:dyDescent="0.3">
      <c r="A54">
        <v>2022</v>
      </c>
      <c r="B54">
        <v>11</v>
      </c>
      <c r="C54" t="s">
        <v>50</v>
      </c>
      <c r="D54" s="4">
        <v>44866</v>
      </c>
      <c r="E54" t="s">
        <v>51</v>
      </c>
      <c r="F54">
        <v>202211</v>
      </c>
      <c r="G54" t="s">
        <v>19</v>
      </c>
      <c r="H54">
        <v>12320</v>
      </c>
      <c r="I54">
        <v>254236.79999996952</v>
      </c>
      <c r="J54">
        <v>197953.79999998506</v>
      </c>
      <c r="K54">
        <v>56283</v>
      </c>
      <c r="L54">
        <v>10628</v>
      </c>
      <c r="M54">
        <v>0.22138022505005864</v>
      </c>
    </row>
    <row r="55" spans="1:13" x14ac:dyDescent="0.3">
      <c r="A55">
        <v>2022</v>
      </c>
      <c r="B55">
        <v>11</v>
      </c>
      <c r="C55" t="s">
        <v>50</v>
      </c>
      <c r="D55" s="4">
        <v>44866</v>
      </c>
      <c r="E55" t="s">
        <v>51</v>
      </c>
      <c r="F55">
        <v>202211</v>
      </c>
      <c r="G55" t="s">
        <v>22</v>
      </c>
      <c r="H55">
        <v>5917</v>
      </c>
      <c r="I55">
        <v>100433.83000000517</v>
      </c>
      <c r="J55">
        <v>56751.82999999891</v>
      </c>
      <c r="K55">
        <v>43682</v>
      </c>
      <c r="L55">
        <v>4513</v>
      </c>
      <c r="M55">
        <v>0.4349331296038173</v>
      </c>
    </row>
    <row r="56" spans="1:13" x14ac:dyDescent="0.3">
      <c r="A56">
        <v>2022</v>
      </c>
      <c r="B56">
        <v>11</v>
      </c>
      <c r="C56" t="s">
        <v>50</v>
      </c>
      <c r="D56" s="4">
        <v>44866</v>
      </c>
      <c r="E56" t="s">
        <v>51</v>
      </c>
      <c r="F56">
        <v>202211</v>
      </c>
      <c r="G56" t="s">
        <v>23</v>
      </c>
      <c r="H56">
        <v>5892</v>
      </c>
      <c r="I56">
        <v>76414.080000002286</v>
      </c>
      <c r="J56">
        <v>58290.079999997855</v>
      </c>
      <c r="K56">
        <v>18124</v>
      </c>
      <c r="L56">
        <v>4895</v>
      </c>
      <c r="M56">
        <v>0.23718141996866884</v>
      </c>
    </row>
    <row r="57" spans="1:13" x14ac:dyDescent="0.3">
      <c r="A57">
        <v>2022</v>
      </c>
      <c r="B57">
        <v>11</v>
      </c>
      <c r="C57" t="s">
        <v>50</v>
      </c>
      <c r="D57" s="4">
        <v>44866</v>
      </c>
      <c r="E57" t="s">
        <v>51</v>
      </c>
      <c r="F57">
        <v>202211</v>
      </c>
      <c r="G57" t="s">
        <v>21</v>
      </c>
      <c r="H57">
        <v>9313</v>
      </c>
      <c r="I57">
        <v>111619.87000001151</v>
      </c>
      <c r="J57">
        <v>78744.870000001611</v>
      </c>
      <c r="K57">
        <v>32875</v>
      </c>
      <c r="L57">
        <v>7422</v>
      </c>
      <c r="M57">
        <v>0.29452641362148702</v>
      </c>
    </row>
    <row r="58" spans="1:13" x14ac:dyDescent="0.3">
      <c r="A58">
        <v>2022</v>
      </c>
      <c r="B58">
        <v>11</v>
      </c>
      <c r="C58" t="s">
        <v>50</v>
      </c>
      <c r="D58" s="4">
        <v>44866</v>
      </c>
      <c r="E58" t="s">
        <v>51</v>
      </c>
      <c r="F58">
        <v>202211</v>
      </c>
      <c r="G58" t="s">
        <v>20</v>
      </c>
      <c r="H58">
        <v>17743</v>
      </c>
      <c r="I58">
        <v>118599.5700000167</v>
      </c>
      <c r="J58">
        <v>76690.570000004431</v>
      </c>
      <c r="K58">
        <v>41909</v>
      </c>
      <c r="L58">
        <v>11501</v>
      </c>
      <c r="M58">
        <v>0.35336553075187455</v>
      </c>
    </row>
    <row r="59" spans="1:13" x14ac:dyDescent="0.3">
      <c r="A59">
        <v>2022</v>
      </c>
      <c r="B59">
        <v>12</v>
      </c>
      <c r="C59" t="s">
        <v>52</v>
      </c>
      <c r="D59" s="4">
        <v>44896</v>
      </c>
      <c r="E59" t="s">
        <v>53</v>
      </c>
      <c r="F59">
        <v>202212</v>
      </c>
      <c r="G59" t="s">
        <v>19</v>
      </c>
      <c r="H59">
        <v>12418</v>
      </c>
      <c r="I59">
        <v>264721.81999997102</v>
      </c>
      <c r="J59">
        <v>207278.81999998473</v>
      </c>
      <c r="K59">
        <v>57443</v>
      </c>
      <c r="L59">
        <v>10309</v>
      </c>
      <c r="M59">
        <v>0.21699382393187797</v>
      </c>
    </row>
    <row r="60" spans="1:13" x14ac:dyDescent="0.3">
      <c r="A60">
        <v>2022</v>
      </c>
      <c r="B60">
        <v>12</v>
      </c>
      <c r="C60" t="s">
        <v>52</v>
      </c>
      <c r="D60" s="4">
        <v>44896</v>
      </c>
      <c r="E60" t="s">
        <v>53</v>
      </c>
      <c r="F60">
        <v>202212</v>
      </c>
      <c r="G60" t="s">
        <v>20</v>
      </c>
      <c r="H60">
        <v>22586</v>
      </c>
      <c r="I60">
        <v>191297.13999999233</v>
      </c>
      <c r="J60">
        <v>134674.14000001771</v>
      </c>
      <c r="K60">
        <v>56623</v>
      </c>
      <c r="L60">
        <v>14277</v>
      </c>
      <c r="M60">
        <v>0.29599501592131627</v>
      </c>
    </row>
    <row r="61" spans="1:13" x14ac:dyDescent="0.3">
      <c r="A61">
        <v>2022</v>
      </c>
      <c r="B61">
        <v>12</v>
      </c>
      <c r="C61" t="s">
        <v>52</v>
      </c>
      <c r="D61" s="4">
        <v>44896</v>
      </c>
      <c r="E61" t="s">
        <v>53</v>
      </c>
      <c r="F61">
        <v>202212</v>
      </c>
      <c r="G61" t="s">
        <v>21</v>
      </c>
      <c r="H61">
        <v>15035</v>
      </c>
      <c r="I61">
        <v>182541.64999999045</v>
      </c>
      <c r="J61">
        <v>130157.65000001961</v>
      </c>
      <c r="K61">
        <v>52384</v>
      </c>
      <c r="L61">
        <v>11558</v>
      </c>
      <c r="M61">
        <v>0.28697012435245733</v>
      </c>
    </row>
    <row r="62" spans="1:13" x14ac:dyDescent="0.3">
      <c r="A62">
        <v>2022</v>
      </c>
      <c r="B62">
        <v>12</v>
      </c>
      <c r="C62" t="s">
        <v>52</v>
      </c>
      <c r="D62" s="4">
        <v>44896</v>
      </c>
      <c r="E62" t="s">
        <v>53</v>
      </c>
      <c r="F62">
        <v>202212</v>
      </c>
      <c r="G62" t="s">
        <v>23</v>
      </c>
      <c r="H62">
        <v>9790</v>
      </c>
      <c r="I62">
        <v>129891.10000001387</v>
      </c>
      <c r="J62">
        <v>95023.100000007704</v>
      </c>
      <c r="K62">
        <v>34868</v>
      </c>
      <c r="L62">
        <v>7495</v>
      </c>
      <c r="M62">
        <v>0.26844025495200424</v>
      </c>
    </row>
    <row r="63" spans="1:13" x14ac:dyDescent="0.3">
      <c r="A63">
        <v>2022</v>
      </c>
      <c r="B63">
        <v>12</v>
      </c>
      <c r="C63" t="s">
        <v>52</v>
      </c>
      <c r="D63" s="4">
        <v>44896</v>
      </c>
      <c r="E63" t="s">
        <v>53</v>
      </c>
      <c r="F63">
        <v>202212</v>
      </c>
      <c r="G63" t="s">
        <v>22</v>
      </c>
      <c r="H63">
        <v>6202</v>
      </c>
      <c r="I63">
        <v>108751.98000000761</v>
      </c>
      <c r="J63">
        <v>63991.979999998199</v>
      </c>
      <c r="K63">
        <v>44760</v>
      </c>
      <c r="L63">
        <v>4741</v>
      </c>
      <c r="M63">
        <v>0.41157871332546653</v>
      </c>
    </row>
    <row r="64" spans="1:13" x14ac:dyDescent="0.3">
      <c r="A64">
        <v>2023</v>
      </c>
      <c r="B64">
        <v>1</v>
      </c>
      <c r="C64" t="s">
        <v>30</v>
      </c>
      <c r="D64" s="4">
        <v>44927</v>
      </c>
      <c r="E64" t="s">
        <v>54</v>
      </c>
      <c r="F64">
        <v>202301</v>
      </c>
      <c r="G64" t="s">
        <v>19</v>
      </c>
      <c r="H64">
        <v>10806</v>
      </c>
      <c r="I64">
        <v>219158.93999998114</v>
      </c>
      <c r="J64">
        <v>171571.93999999706</v>
      </c>
      <c r="K64">
        <v>47587</v>
      </c>
      <c r="L64">
        <v>9153</v>
      </c>
      <c r="M64">
        <v>0.21713465122620185</v>
      </c>
    </row>
    <row r="65" spans="1:13" x14ac:dyDescent="0.3">
      <c r="A65">
        <v>2023</v>
      </c>
      <c r="B65">
        <v>1</v>
      </c>
      <c r="C65" t="s">
        <v>30</v>
      </c>
      <c r="D65" s="4">
        <v>44927</v>
      </c>
      <c r="E65" t="s">
        <v>54</v>
      </c>
      <c r="F65">
        <v>202301</v>
      </c>
      <c r="G65" t="s">
        <v>22</v>
      </c>
      <c r="H65">
        <v>5819</v>
      </c>
      <c r="I65">
        <v>102774.81000000582</v>
      </c>
      <c r="J65">
        <v>61054.809999998528</v>
      </c>
      <c r="K65">
        <v>41720</v>
      </c>
      <c r="L65">
        <v>4613</v>
      </c>
      <c r="M65">
        <v>0.40593604600191074</v>
      </c>
    </row>
    <row r="66" spans="1:13" x14ac:dyDescent="0.3">
      <c r="A66">
        <v>2023</v>
      </c>
      <c r="B66">
        <v>1</v>
      </c>
      <c r="C66" t="s">
        <v>30</v>
      </c>
      <c r="D66" s="4">
        <v>44927</v>
      </c>
      <c r="E66" t="s">
        <v>54</v>
      </c>
      <c r="F66">
        <v>202301</v>
      </c>
      <c r="G66" t="s">
        <v>20</v>
      </c>
      <c r="H66">
        <v>21478</v>
      </c>
      <c r="I66">
        <v>195905.21999998926</v>
      </c>
      <c r="J66">
        <v>145207.22000000824</v>
      </c>
      <c r="K66">
        <v>50698</v>
      </c>
      <c r="L66">
        <v>13613</v>
      </c>
      <c r="M66">
        <v>0.25878840798628427</v>
      </c>
    </row>
    <row r="67" spans="1:13" x14ac:dyDescent="0.3">
      <c r="A67">
        <v>2023</v>
      </c>
      <c r="B67">
        <v>1</v>
      </c>
      <c r="C67" t="s">
        <v>30</v>
      </c>
      <c r="D67" s="4">
        <v>44927</v>
      </c>
      <c r="E67" t="s">
        <v>54</v>
      </c>
      <c r="F67">
        <v>202301</v>
      </c>
      <c r="G67" t="s">
        <v>21</v>
      </c>
      <c r="H67">
        <v>11981</v>
      </c>
      <c r="I67">
        <v>139809.19000001581</v>
      </c>
      <c r="J67">
        <v>97985.190000009548</v>
      </c>
      <c r="K67">
        <v>41824</v>
      </c>
      <c r="L67">
        <v>9678</v>
      </c>
      <c r="M67">
        <v>0.29915057801275635</v>
      </c>
    </row>
    <row r="68" spans="1:13" x14ac:dyDescent="0.3">
      <c r="A68">
        <v>2023</v>
      </c>
      <c r="B68">
        <v>1</v>
      </c>
      <c r="C68" t="s">
        <v>30</v>
      </c>
      <c r="D68" s="4">
        <v>44927</v>
      </c>
      <c r="E68" t="s">
        <v>54</v>
      </c>
      <c r="F68">
        <v>202301</v>
      </c>
      <c r="G68" t="s">
        <v>23</v>
      </c>
      <c r="H68">
        <v>6394</v>
      </c>
      <c r="I68">
        <v>89548.060000004567</v>
      </c>
      <c r="J68">
        <v>66303.059999997422</v>
      </c>
      <c r="K68">
        <v>23245</v>
      </c>
      <c r="L68">
        <v>5361</v>
      </c>
      <c r="M68">
        <v>0.25958127959443023</v>
      </c>
    </row>
    <row r="69" spans="1:13" x14ac:dyDescent="0.3">
      <c r="A69">
        <v>2023</v>
      </c>
      <c r="B69">
        <v>2</v>
      </c>
      <c r="C69" t="s">
        <v>32</v>
      </c>
      <c r="D69" s="4">
        <v>44958</v>
      </c>
      <c r="E69" t="s">
        <v>55</v>
      </c>
      <c r="F69">
        <v>202302</v>
      </c>
      <c r="G69" t="s">
        <v>23</v>
      </c>
      <c r="H69">
        <v>6188</v>
      </c>
      <c r="I69">
        <v>85848.120000004681</v>
      </c>
      <c r="J69">
        <v>63999.119999997492</v>
      </c>
      <c r="K69">
        <v>21849</v>
      </c>
      <c r="L69">
        <v>5038</v>
      </c>
      <c r="M69">
        <v>0.25450761181489834</v>
      </c>
    </row>
    <row r="70" spans="1:13" x14ac:dyDescent="0.3">
      <c r="A70">
        <v>2023</v>
      </c>
      <c r="B70">
        <v>2</v>
      </c>
      <c r="C70" t="s">
        <v>32</v>
      </c>
      <c r="D70" s="4">
        <v>44958</v>
      </c>
      <c r="E70" t="s">
        <v>55</v>
      </c>
      <c r="F70">
        <v>202302</v>
      </c>
      <c r="G70" t="s">
        <v>19</v>
      </c>
      <c r="H70">
        <v>11375</v>
      </c>
      <c r="I70">
        <v>218326.2499999805</v>
      </c>
      <c r="J70">
        <v>175361.24999999237</v>
      </c>
      <c r="K70">
        <v>42965</v>
      </c>
      <c r="L70">
        <v>9590</v>
      </c>
      <c r="M70">
        <v>0.19679264403617905</v>
      </c>
    </row>
    <row r="71" spans="1:13" x14ac:dyDescent="0.3">
      <c r="A71">
        <v>2023</v>
      </c>
      <c r="B71">
        <v>2</v>
      </c>
      <c r="C71" t="s">
        <v>32</v>
      </c>
      <c r="D71" s="4">
        <v>44958</v>
      </c>
      <c r="E71" t="s">
        <v>55</v>
      </c>
      <c r="F71">
        <v>202302</v>
      </c>
      <c r="G71" t="s">
        <v>20</v>
      </c>
      <c r="H71">
        <v>20790</v>
      </c>
      <c r="I71">
        <v>187713.09999998947</v>
      </c>
      <c r="J71">
        <v>138217.10000001529</v>
      </c>
      <c r="K71">
        <v>49496</v>
      </c>
      <c r="L71">
        <v>13476</v>
      </c>
      <c r="M71">
        <v>0.26367898670898715</v>
      </c>
    </row>
    <row r="72" spans="1:13" x14ac:dyDescent="0.3">
      <c r="A72">
        <v>2023</v>
      </c>
      <c r="B72">
        <v>2</v>
      </c>
      <c r="C72" t="s">
        <v>32</v>
      </c>
      <c r="D72" s="4">
        <v>44958</v>
      </c>
      <c r="E72" t="s">
        <v>55</v>
      </c>
      <c r="F72">
        <v>202302</v>
      </c>
      <c r="G72" t="s">
        <v>21</v>
      </c>
      <c r="H72">
        <v>10697</v>
      </c>
      <c r="I72">
        <v>131745.03000001574</v>
      </c>
      <c r="J72">
        <v>95987.030000008803</v>
      </c>
      <c r="K72">
        <v>35758</v>
      </c>
      <c r="L72">
        <v>7947</v>
      </c>
      <c r="M72">
        <v>0.27141820833769387</v>
      </c>
    </row>
    <row r="73" spans="1:13" x14ac:dyDescent="0.3">
      <c r="A73">
        <v>2023</v>
      </c>
      <c r="B73">
        <v>2</v>
      </c>
      <c r="C73" t="s">
        <v>32</v>
      </c>
      <c r="D73" s="4">
        <v>44958</v>
      </c>
      <c r="E73" t="s">
        <v>55</v>
      </c>
      <c r="F73">
        <v>202302</v>
      </c>
      <c r="G73" t="s">
        <v>22</v>
      </c>
      <c r="H73">
        <v>5531</v>
      </c>
      <c r="I73">
        <v>98999.690000005285</v>
      </c>
      <c r="J73">
        <v>59753.689999998664</v>
      </c>
      <c r="K73">
        <v>39246</v>
      </c>
      <c r="L73">
        <v>4382</v>
      </c>
      <c r="M73">
        <v>0.39642548375654413</v>
      </c>
    </row>
    <row r="74" spans="1:13" x14ac:dyDescent="0.3">
      <c r="A74">
        <v>2023</v>
      </c>
      <c r="B74">
        <v>3</v>
      </c>
      <c r="C74" t="s">
        <v>34</v>
      </c>
      <c r="D74" s="4">
        <v>44986</v>
      </c>
      <c r="E74" t="s">
        <v>56</v>
      </c>
      <c r="F74">
        <v>202303</v>
      </c>
      <c r="G74" t="s">
        <v>19</v>
      </c>
      <c r="H74">
        <v>16117</v>
      </c>
      <c r="I74">
        <v>303199.82999994984</v>
      </c>
      <c r="J74">
        <v>243221.82999996567</v>
      </c>
      <c r="K74">
        <v>59978</v>
      </c>
      <c r="L74">
        <v>12628</v>
      </c>
      <c r="M74">
        <v>0.19781673360440183</v>
      </c>
    </row>
    <row r="75" spans="1:13" x14ac:dyDescent="0.3">
      <c r="A75">
        <v>2023</v>
      </c>
      <c r="B75">
        <v>3</v>
      </c>
      <c r="C75" t="s">
        <v>34</v>
      </c>
      <c r="D75" s="4">
        <v>44986</v>
      </c>
      <c r="E75" t="s">
        <v>56</v>
      </c>
      <c r="F75">
        <v>202303</v>
      </c>
      <c r="G75" t="s">
        <v>20</v>
      </c>
      <c r="H75">
        <v>25587</v>
      </c>
      <c r="I75">
        <v>205848.12999999645</v>
      </c>
      <c r="J75">
        <v>149784.13000001488</v>
      </c>
      <c r="K75">
        <v>56064</v>
      </c>
      <c r="L75">
        <v>15751</v>
      </c>
      <c r="M75">
        <v>0.27235612973506712</v>
      </c>
    </row>
    <row r="76" spans="1:13" x14ac:dyDescent="0.3">
      <c r="A76">
        <v>2023</v>
      </c>
      <c r="B76">
        <v>3</v>
      </c>
      <c r="C76" t="s">
        <v>34</v>
      </c>
      <c r="D76" s="4">
        <v>44986</v>
      </c>
      <c r="E76" t="s">
        <v>56</v>
      </c>
      <c r="F76">
        <v>202303</v>
      </c>
      <c r="G76" t="s">
        <v>22</v>
      </c>
      <c r="H76">
        <v>5734</v>
      </c>
      <c r="I76">
        <v>101111.66000000533</v>
      </c>
      <c r="J76">
        <v>59930.659999998396</v>
      </c>
      <c r="K76">
        <v>41181</v>
      </c>
      <c r="L76">
        <v>4324</v>
      </c>
      <c r="M76">
        <v>0.40728240442296992</v>
      </c>
    </row>
    <row r="77" spans="1:13" x14ac:dyDescent="0.3">
      <c r="A77">
        <v>2023</v>
      </c>
      <c r="B77">
        <v>3</v>
      </c>
      <c r="C77" t="s">
        <v>34</v>
      </c>
      <c r="D77" s="4">
        <v>44986</v>
      </c>
      <c r="E77" t="s">
        <v>56</v>
      </c>
      <c r="F77">
        <v>202303</v>
      </c>
      <c r="G77" t="s">
        <v>21</v>
      </c>
      <c r="H77">
        <v>11541</v>
      </c>
      <c r="I77">
        <v>131252.59000001845</v>
      </c>
      <c r="J77">
        <v>91248.590000008335</v>
      </c>
      <c r="K77">
        <v>40004</v>
      </c>
      <c r="L77">
        <v>8811</v>
      </c>
      <c r="M77">
        <v>0.30478636650137247</v>
      </c>
    </row>
    <row r="78" spans="1:13" x14ac:dyDescent="0.3">
      <c r="A78">
        <v>2023</v>
      </c>
      <c r="B78">
        <v>3</v>
      </c>
      <c r="C78" t="s">
        <v>34</v>
      </c>
      <c r="D78" s="4">
        <v>44986</v>
      </c>
      <c r="E78" t="s">
        <v>56</v>
      </c>
      <c r="F78">
        <v>202303</v>
      </c>
      <c r="G78" t="s">
        <v>23</v>
      </c>
      <c r="H78">
        <v>10357</v>
      </c>
      <c r="I78">
        <v>142103.43000000995</v>
      </c>
      <c r="J78">
        <v>107421.43000001038</v>
      </c>
      <c r="K78">
        <v>34682</v>
      </c>
      <c r="L78">
        <v>8304</v>
      </c>
      <c r="M78">
        <v>0.24406166691400463</v>
      </c>
    </row>
    <row r="79" spans="1:13" x14ac:dyDescent="0.3">
      <c r="A79">
        <v>2023</v>
      </c>
      <c r="B79">
        <v>4</v>
      </c>
      <c r="C79" t="s">
        <v>36</v>
      </c>
      <c r="D79" s="4">
        <v>45017</v>
      </c>
      <c r="E79" t="s">
        <v>57</v>
      </c>
      <c r="F79">
        <v>202304</v>
      </c>
      <c r="G79" t="s">
        <v>23</v>
      </c>
      <c r="H79">
        <v>9773</v>
      </c>
      <c r="I79">
        <v>129265.27000001448</v>
      </c>
      <c r="J79">
        <v>99258.270000009405</v>
      </c>
      <c r="K79">
        <v>30007</v>
      </c>
      <c r="L79">
        <v>7929</v>
      </c>
      <c r="M79">
        <v>0.2321350506597529</v>
      </c>
    </row>
    <row r="80" spans="1:13" x14ac:dyDescent="0.3">
      <c r="A80">
        <v>2023</v>
      </c>
      <c r="B80">
        <v>4</v>
      </c>
      <c r="C80" t="s">
        <v>36</v>
      </c>
      <c r="D80" s="4">
        <v>45017</v>
      </c>
      <c r="E80" t="s">
        <v>57</v>
      </c>
      <c r="F80">
        <v>202304</v>
      </c>
      <c r="G80" t="s">
        <v>21</v>
      </c>
      <c r="H80">
        <v>10718</v>
      </c>
      <c r="I80">
        <v>121196.82000001574</v>
      </c>
      <c r="J80">
        <v>83182.820000004329</v>
      </c>
      <c r="K80">
        <v>38014</v>
      </c>
      <c r="L80">
        <v>8331</v>
      </c>
      <c r="M80">
        <v>0.31365509425078203</v>
      </c>
    </row>
    <row r="81" spans="1:13" x14ac:dyDescent="0.3">
      <c r="A81">
        <v>2023</v>
      </c>
      <c r="B81">
        <v>4</v>
      </c>
      <c r="C81" t="s">
        <v>36</v>
      </c>
      <c r="D81" s="4">
        <v>45017</v>
      </c>
      <c r="E81" t="s">
        <v>57</v>
      </c>
      <c r="F81">
        <v>202304</v>
      </c>
      <c r="G81" t="s">
        <v>20</v>
      </c>
      <c r="H81">
        <v>25685</v>
      </c>
      <c r="I81">
        <v>230299.14999998437</v>
      </c>
      <c r="J81">
        <v>172579.15000000733</v>
      </c>
      <c r="K81">
        <v>57720</v>
      </c>
      <c r="L81">
        <v>15931</v>
      </c>
      <c r="M81">
        <v>0.2506305385842888</v>
      </c>
    </row>
    <row r="82" spans="1:13" x14ac:dyDescent="0.3">
      <c r="A82">
        <v>2023</v>
      </c>
      <c r="B82">
        <v>4</v>
      </c>
      <c r="C82" t="s">
        <v>36</v>
      </c>
      <c r="D82" s="4">
        <v>45017</v>
      </c>
      <c r="E82" t="s">
        <v>57</v>
      </c>
      <c r="F82">
        <v>202304</v>
      </c>
      <c r="G82" t="s">
        <v>22</v>
      </c>
      <c r="H82">
        <v>5084</v>
      </c>
      <c r="I82">
        <v>89174.16000000319</v>
      </c>
      <c r="J82">
        <v>52467.15999999913</v>
      </c>
      <c r="K82">
        <v>36707</v>
      </c>
      <c r="L82">
        <v>4018</v>
      </c>
      <c r="M82">
        <v>0.41163269718490969</v>
      </c>
    </row>
    <row r="83" spans="1:13" x14ac:dyDescent="0.3">
      <c r="A83">
        <v>2023</v>
      </c>
      <c r="B83">
        <v>4</v>
      </c>
      <c r="C83" t="s">
        <v>36</v>
      </c>
      <c r="D83" s="4">
        <v>45017</v>
      </c>
      <c r="E83" t="s">
        <v>57</v>
      </c>
      <c r="F83">
        <v>202304</v>
      </c>
      <c r="G83" t="s">
        <v>19</v>
      </c>
      <c r="H83">
        <v>14333</v>
      </c>
      <c r="I83">
        <v>257755.66999997164</v>
      </c>
      <c r="J83">
        <v>205107.66999998468</v>
      </c>
      <c r="K83">
        <v>52648</v>
      </c>
      <c r="L83">
        <v>11559</v>
      </c>
      <c r="M83">
        <v>0.20425544858045525</v>
      </c>
    </row>
    <row r="84" spans="1:13" x14ac:dyDescent="0.3">
      <c r="A84">
        <v>2023</v>
      </c>
      <c r="B84">
        <v>5</v>
      </c>
      <c r="C84" t="s">
        <v>38</v>
      </c>
      <c r="D84" s="4">
        <v>45047</v>
      </c>
      <c r="E84" t="s">
        <v>58</v>
      </c>
      <c r="F84">
        <v>202305</v>
      </c>
      <c r="G84" t="s">
        <v>20</v>
      </c>
      <c r="H84">
        <v>24213</v>
      </c>
      <c r="I84">
        <v>226843.86999997578</v>
      </c>
      <c r="J84">
        <v>170368.87000000078</v>
      </c>
      <c r="K84">
        <v>56475</v>
      </c>
      <c r="L84">
        <v>15938</v>
      </c>
      <c r="M84">
        <v>0.24895978013426603</v>
      </c>
    </row>
    <row r="85" spans="1:13" x14ac:dyDescent="0.3">
      <c r="A85">
        <v>2023</v>
      </c>
      <c r="B85">
        <v>5</v>
      </c>
      <c r="C85" t="s">
        <v>38</v>
      </c>
      <c r="D85" s="4">
        <v>45047</v>
      </c>
      <c r="E85" t="s">
        <v>58</v>
      </c>
      <c r="F85">
        <v>202305</v>
      </c>
      <c r="G85" t="s">
        <v>19</v>
      </c>
      <c r="H85">
        <v>15265</v>
      </c>
      <c r="I85">
        <v>268375.34999996051</v>
      </c>
      <c r="J85">
        <v>211973.34999997809</v>
      </c>
      <c r="K85">
        <v>56402</v>
      </c>
      <c r="L85">
        <v>12435</v>
      </c>
      <c r="M85">
        <v>0.21016088101984143</v>
      </c>
    </row>
    <row r="86" spans="1:13" x14ac:dyDescent="0.3">
      <c r="A86">
        <v>2023</v>
      </c>
      <c r="B86">
        <v>5</v>
      </c>
      <c r="C86" t="s">
        <v>38</v>
      </c>
      <c r="D86" s="4">
        <v>45047</v>
      </c>
      <c r="E86" t="s">
        <v>58</v>
      </c>
      <c r="F86">
        <v>202305</v>
      </c>
      <c r="G86" t="s">
        <v>21</v>
      </c>
      <c r="H86">
        <v>9171</v>
      </c>
      <c r="I86">
        <v>108814.29000001078</v>
      </c>
      <c r="J86">
        <v>77088.289999999513</v>
      </c>
      <c r="K86">
        <v>31726</v>
      </c>
      <c r="L86">
        <v>7640</v>
      </c>
      <c r="M86">
        <v>0.29156097053058799</v>
      </c>
    </row>
    <row r="87" spans="1:13" x14ac:dyDescent="0.3">
      <c r="A87">
        <v>2023</v>
      </c>
      <c r="B87">
        <v>5</v>
      </c>
      <c r="C87" t="s">
        <v>38</v>
      </c>
      <c r="D87" s="4">
        <v>45047</v>
      </c>
      <c r="E87" t="s">
        <v>58</v>
      </c>
      <c r="F87">
        <v>202305</v>
      </c>
      <c r="G87" t="s">
        <v>22</v>
      </c>
      <c r="H87">
        <v>4681</v>
      </c>
      <c r="I87">
        <v>83904.190000002432</v>
      </c>
      <c r="J87">
        <v>50712.189999999493</v>
      </c>
      <c r="K87">
        <v>33192</v>
      </c>
      <c r="L87">
        <v>3956</v>
      </c>
      <c r="M87">
        <v>0.39559406985514117</v>
      </c>
    </row>
    <row r="88" spans="1:13" x14ac:dyDescent="0.3">
      <c r="A88">
        <v>2023</v>
      </c>
      <c r="B88">
        <v>5</v>
      </c>
      <c r="C88" t="s">
        <v>38</v>
      </c>
      <c r="D88" s="4">
        <v>45047</v>
      </c>
      <c r="E88" t="s">
        <v>58</v>
      </c>
      <c r="F88">
        <v>202305</v>
      </c>
      <c r="G88" t="s">
        <v>23</v>
      </c>
      <c r="H88">
        <v>10521</v>
      </c>
      <c r="I88">
        <v>137381.7900000129</v>
      </c>
      <c r="J88">
        <v>104829.79000001257</v>
      </c>
      <c r="K88">
        <v>32552</v>
      </c>
      <c r="L88">
        <v>8673</v>
      </c>
      <c r="M88">
        <v>0.23694552240145469</v>
      </c>
    </row>
    <row r="89" spans="1:13" x14ac:dyDescent="0.3">
      <c r="A89">
        <v>2023</v>
      </c>
      <c r="B89">
        <v>6</v>
      </c>
      <c r="C89" t="s">
        <v>40</v>
      </c>
      <c r="D89" s="4">
        <v>45078</v>
      </c>
      <c r="E89" t="s">
        <v>59</v>
      </c>
      <c r="F89">
        <v>202306</v>
      </c>
      <c r="G89" t="s">
        <v>19</v>
      </c>
      <c r="H89">
        <v>16331</v>
      </c>
      <c r="I89">
        <v>292148.6899999525</v>
      </c>
      <c r="J89">
        <v>229777.68999996784</v>
      </c>
      <c r="K89">
        <v>62371</v>
      </c>
      <c r="L89">
        <v>13391</v>
      </c>
      <c r="M89">
        <v>0.21349060302139344</v>
      </c>
    </row>
    <row r="90" spans="1:13" x14ac:dyDescent="0.3">
      <c r="A90">
        <v>2023</v>
      </c>
      <c r="B90">
        <v>6</v>
      </c>
      <c r="C90" t="s">
        <v>40</v>
      </c>
      <c r="D90" s="4">
        <v>45078</v>
      </c>
      <c r="E90" t="s">
        <v>59</v>
      </c>
      <c r="F90">
        <v>202306</v>
      </c>
      <c r="G90" t="s">
        <v>20</v>
      </c>
      <c r="H90">
        <v>23734</v>
      </c>
      <c r="I90">
        <v>202725.6599999833</v>
      </c>
      <c r="J90">
        <v>152224.66000000827</v>
      </c>
      <c r="K90">
        <v>50501</v>
      </c>
      <c r="L90">
        <v>15481</v>
      </c>
      <c r="M90">
        <v>0.2491100534584727</v>
      </c>
    </row>
    <row r="91" spans="1:13" x14ac:dyDescent="0.3">
      <c r="A91">
        <v>2023</v>
      </c>
      <c r="B91">
        <v>6</v>
      </c>
      <c r="C91" t="s">
        <v>40</v>
      </c>
      <c r="D91" s="4">
        <v>45078</v>
      </c>
      <c r="E91" t="s">
        <v>59</v>
      </c>
      <c r="F91">
        <v>202306</v>
      </c>
      <c r="G91" t="s">
        <v>22</v>
      </c>
      <c r="H91">
        <v>4766</v>
      </c>
      <c r="I91">
        <v>84604.340000003271</v>
      </c>
      <c r="J91">
        <v>50466.339999999152</v>
      </c>
      <c r="K91">
        <v>34138</v>
      </c>
      <c r="L91">
        <v>3967</v>
      </c>
      <c r="M91">
        <v>0.40350175889320428</v>
      </c>
    </row>
    <row r="92" spans="1:13" x14ac:dyDescent="0.3">
      <c r="A92">
        <v>2023</v>
      </c>
      <c r="B92">
        <v>6</v>
      </c>
      <c r="C92" t="s">
        <v>40</v>
      </c>
      <c r="D92" s="4">
        <v>45078</v>
      </c>
      <c r="E92" t="s">
        <v>59</v>
      </c>
      <c r="F92">
        <v>202306</v>
      </c>
      <c r="G92" t="s">
        <v>21</v>
      </c>
      <c r="H92">
        <v>8717</v>
      </c>
      <c r="I92">
        <v>99193.830000009344</v>
      </c>
      <c r="J92">
        <v>67996.829999998343</v>
      </c>
      <c r="K92">
        <v>31197</v>
      </c>
      <c r="L92">
        <v>7388</v>
      </c>
      <c r="M92">
        <v>0.31450544857474566</v>
      </c>
    </row>
    <row r="93" spans="1:13" x14ac:dyDescent="0.3">
      <c r="A93">
        <v>2023</v>
      </c>
      <c r="B93">
        <v>6</v>
      </c>
      <c r="C93" t="s">
        <v>40</v>
      </c>
      <c r="D93" s="4">
        <v>45078</v>
      </c>
      <c r="E93" t="s">
        <v>59</v>
      </c>
      <c r="F93">
        <v>202306</v>
      </c>
      <c r="G93" t="s">
        <v>23</v>
      </c>
      <c r="H93">
        <v>10727</v>
      </c>
      <c r="I93">
        <v>129626.73000001488</v>
      </c>
      <c r="J93">
        <v>100621.73000000817</v>
      </c>
      <c r="K93">
        <v>29005</v>
      </c>
      <c r="L93">
        <v>8194</v>
      </c>
      <c r="M93">
        <v>0.22375786228655672</v>
      </c>
    </row>
    <row r="94" spans="1:13" x14ac:dyDescent="0.3">
      <c r="A94">
        <v>2023</v>
      </c>
      <c r="B94">
        <v>7</v>
      </c>
      <c r="C94" t="s">
        <v>42</v>
      </c>
      <c r="D94" s="4">
        <v>45108</v>
      </c>
      <c r="E94" t="s">
        <v>60</v>
      </c>
      <c r="F94">
        <v>202307</v>
      </c>
      <c r="G94" t="s">
        <v>20</v>
      </c>
      <c r="H94">
        <v>22502</v>
      </c>
      <c r="I94">
        <v>206862.97999998141</v>
      </c>
      <c r="J94">
        <v>152062.98000001238</v>
      </c>
      <c r="K94">
        <v>54800</v>
      </c>
      <c r="L94">
        <v>15433</v>
      </c>
      <c r="M94">
        <v>0.26490965178982206</v>
      </c>
    </row>
    <row r="95" spans="1:13" x14ac:dyDescent="0.3">
      <c r="A95">
        <v>2023</v>
      </c>
      <c r="B95">
        <v>7</v>
      </c>
      <c r="C95" t="s">
        <v>42</v>
      </c>
      <c r="D95" s="4">
        <v>45108</v>
      </c>
      <c r="E95" t="s">
        <v>60</v>
      </c>
      <c r="F95">
        <v>202307</v>
      </c>
      <c r="G95" t="s">
        <v>19</v>
      </c>
      <c r="H95">
        <v>16202</v>
      </c>
      <c r="I95">
        <v>296684.97999995382</v>
      </c>
      <c r="J95">
        <v>239423.97999996913</v>
      </c>
      <c r="K95">
        <v>57261</v>
      </c>
      <c r="L95">
        <v>12996</v>
      </c>
      <c r="M95">
        <v>0.19300269262033054</v>
      </c>
    </row>
    <row r="96" spans="1:13" x14ac:dyDescent="0.3">
      <c r="A96">
        <v>2023</v>
      </c>
      <c r="B96">
        <v>7</v>
      </c>
      <c r="C96" t="s">
        <v>42</v>
      </c>
      <c r="D96" s="4">
        <v>45108</v>
      </c>
      <c r="E96" t="s">
        <v>60</v>
      </c>
      <c r="F96">
        <v>202307</v>
      </c>
      <c r="G96" t="s">
        <v>23</v>
      </c>
      <c r="H96">
        <v>10383</v>
      </c>
      <c r="I96">
        <v>128931.17000001478</v>
      </c>
      <c r="J96">
        <v>100108.17000000972</v>
      </c>
      <c r="K96">
        <v>28823</v>
      </c>
      <c r="L96">
        <v>8149</v>
      </c>
      <c r="M96">
        <v>0.22355338899039459</v>
      </c>
    </row>
    <row r="97" spans="1:13" x14ac:dyDescent="0.3">
      <c r="A97">
        <v>2023</v>
      </c>
      <c r="B97">
        <v>7</v>
      </c>
      <c r="C97" t="s">
        <v>42</v>
      </c>
      <c r="D97" s="4">
        <v>45108</v>
      </c>
      <c r="E97" t="s">
        <v>60</v>
      </c>
      <c r="F97">
        <v>202307</v>
      </c>
      <c r="G97" t="s">
        <v>21</v>
      </c>
      <c r="H97">
        <v>9442</v>
      </c>
      <c r="I97">
        <v>107272.58000001122</v>
      </c>
      <c r="J97">
        <v>75316.580000001195</v>
      </c>
      <c r="K97">
        <v>31956</v>
      </c>
      <c r="L97">
        <v>7805</v>
      </c>
      <c r="M97">
        <v>0.29789532422914278</v>
      </c>
    </row>
    <row r="98" spans="1:13" x14ac:dyDescent="0.3">
      <c r="A98">
        <v>2023</v>
      </c>
      <c r="B98">
        <v>7</v>
      </c>
      <c r="C98" t="s">
        <v>42</v>
      </c>
      <c r="D98" s="4">
        <v>45108</v>
      </c>
      <c r="E98" t="s">
        <v>60</v>
      </c>
      <c r="F98">
        <v>202307</v>
      </c>
      <c r="G98" t="s">
        <v>22</v>
      </c>
      <c r="H98">
        <v>5085</v>
      </c>
      <c r="I98">
        <v>88597.150000003166</v>
      </c>
      <c r="J98">
        <v>51630.149999999703</v>
      </c>
      <c r="K98">
        <v>36967</v>
      </c>
      <c r="L98">
        <v>4125</v>
      </c>
      <c r="M98">
        <v>0.41724818461991925</v>
      </c>
    </row>
    <row r="99" spans="1:13" x14ac:dyDescent="0.3">
      <c r="A99">
        <v>2023</v>
      </c>
      <c r="B99">
        <v>8</v>
      </c>
      <c r="C99" t="s">
        <v>44</v>
      </c>
      <c r="D99" s="4">
        <v>45139</v>
      </c>
      <c r="E99" t="s">
        <v>61</v>
      </c>
      <c r="F99">
        <v>202308</v>
      </c>
      <c r="G99" t="s">
        <v>19</v>
      </c>
      <c r="H99">
        <v>13149</v>
      </c>
      <c r="I99">
        <v>235461.5099999746</v>
      </c>
      <c r="J99">
        <v>187606.5099999868</v>
      </c>
      <c r="K99">
        <v>47855</v>
      </c>
      <c r="L99">
        <v>11306</v>
      </c>
      <c r="M99">
        <v>0.20323916210341622</v>
      </c>
    </row>
    <row r="100" spans="1:13" x14ac:dyDescent="0.3">
      <c r="A100">
        <v>2023</v>
      </c>
      <c r="B100">
        <v>8</v>
      </c>
      <c r="C100" t="s">
        <v>44</v>
      </c>
      <c r="D100" s="4">
        <v>45139</v>
      </c>
      <c r="E100" t="s">
        <v>61</v>
      </c>
      <c r="F100">
        <v>202308</v>
      </c>
      <c r="G100" t="s">
        <v>23</v>
      </c>
      <c r="H100">
        <v>7741</v>
      </c>
      <c r="I100">
        <v>98763.590000006938</v>
      </c>
      <c r="J100">
        <v>75479.590000001102</v>
      </c>
      <c r="K100">
        <v>23284</v>
      </c>
      <c r="L100">
        <v>6413</v>
      </c>
      <c r="M100">
        <v>0.23575489712350842</v>
      </c>
    </row>
    <row r="101" spans="1:13" x14ac:dyDescent="0.3">
      <c r="A101">
        <v>2023</v>
      </c>
      <c r="B101">
        <v>8</v>
      </c>
      <c r="C101" t="s">
        <v>44</v>
      </c>
      <c r="D101" s="4">
        <v>45139</v>
      </c>
      <c r="E101" t="s">
        <v>61</v>
      </c>
      <c r="F101">
        <v>202308</v>
      </c>
      <c r="G101" t="s">
        <v>21</v>
      </c>
      <c r="H101">
        <v>7654</v>
      </c>
      <c r="I101">
        <v>86757.460000003935</v>
      </c>
      <c r="J101">
        <v>62146.45999999762</v>
      </c>
      <c r="K101">
        <v>24611</v>
      </c>
      <c r="L101">
        <v>6427</v>
      </c>
      <c r="M101">
        <v>0.28367589369258717</v>
      </c>
    </row>
    <row r="102" spans="1:13" x14ac:dyDescent="0.3">
      <c r="A102">
        <v>2023</v>
      </c>
      <c r="B102">
        <v>8</v>
      </c>
      <c r="C102" t="s">
        <v>44</v>
      </c>
      <c r="D102" s="4">
        <v>45139</v>
      </c>
      <c r="E102" t="s">
        <v>61</v>
      </c>
      <c r="F102">
        <v>202308</v>
      </c>
      <c r="G102" t="s">
        <v>20</v>
      </c>
      <c r="H102">
        <v>17837</v>
      </c>
      <c r="I102">
        <v>155295.63000000702</v>
      </c>
      <c r="J102">
        <v>110692.63000001958</v>
      </c>
      <c r="K102">
        <v>44603</v>
      </c>
      <c r="L102">
        <v>12290</v>
      </c>
      <c r="M102">
        <v>0.28721349081102915</v>
      </c>
    </row>
    <row r="103" spans="1:13" x14ac:dyDescent="0.3">
      <c r="A103">
        <v>2023</v>
      </c>
      <c r="B103">
        <v>8</v>
      </c>
      <c r="C103" t="s">
        <v>44</v>
      </c>
      <c r="D103" s="4">
        <v>45139</v>
      </c>
      <c r="E103" t="s">
        <v>61</v>
      </c>
      <c r="F103">
        <v>202308</v>
      </c>
      <c r="G103" t="s">
        <v>22</v>
      </c>
      <c r="H103">
        <v>4812</v>
      </c>
      <c r="I103">
        <v>84598.880000002682</v>
      </c>
      <c r="J103">
        <v>49913.879999999415</v>
      </c>
      <c r="K103">
        <v>34685</v>
      </c>
      <c r="L103">
        <v>4143</v>
      </c>
      <c r="M103">
        <v>0.40999360748036973</v>
      </c>
    </row>
    <row r="104" spans="1:13" x14ac:dyDescent="0.3">
      <c r="A104">
        <v>2023</v>
      </c>
      <c r="B104">
        <v>9</v>
      </c>
      <c r="C104" t="s">
        <v>46</v>
      </c>
      <c r="D104" s="4">
        <v>45170</v>
      </c>
      <c r="E104" t="s">
        <v>62</v>
      </c>
      <c r="F104">
        <v>202309</v>
      </c>
      <c r="G104" t="s">
        <v>22</v>
      </c>
      <c r="H104">
        <v>4082</v>
      </c>
      <c r="I104">
        <v>72547.180000000095</v>
      </c>
      <c r="J104">
        <v>43353.180000000073</v>
      </c>
      <c r="K104">
        <v>29194</v>
      </c>
      <c r="L104">
        <v>3445</v>
      </c>
      <c r="M104">
        <v>0.40241398769738479</v>
      </c>
    </row>
    <row r="105" spans="1:13" x14ac:dyDescent="0.3">
      <c r="A105">
        <v>2023</v>
      </c>
      <c r="B105">
        <v>9</v>
      </c>
      <c r="C105" t="s">
        <v>46</v>
      </c>
      <c r="D105" s="4">
        <v>45170</v>
      </c>
      <c r="E105" t="s">
        <v>62</v>
      </c>
      <c r="F105">
        <v>202309</v>
      </c>
      <c r="G105" t="s">
        <v>20</v>
      </c>
      <c r="H105">
        <v>21236</v>
      </c>
      <c r="I105">
        <v>187229.63999998695</v>
      </c>
      <c r="J105">
        <v>127181.64000003121</v>
      </c>
      <c r="K105">
        <v>60048</v>
      </c>
      <c r="L105">
        <v>15806</v>
      </c>
      <c r="M105">
        <v>0.32071845034794805</v>
      </c>
    </row>
    <row r="106" spans="1:13" x14ac:dyDescent="0.3">
      <c r="A106">
        <v>2023</v>
      </c>
      <c r="B106">
        <v>9</v>
      </c>
      <c r="C106" t="s">
        <v>46</v>
      </c>
      <c r="D106" s="4">
        <v>45170</v>
      </c>
      <c r="E106" t="s">
        <v>62</v>
      </c>
      <c r="F106">
        <v>202309</v>
      </c>
      <c r="G106" t="s">
        <v>23</v>
      </c>
      <c r="H106">
        <v>8246</v>
      </c>
      <c r="I106">
        <v>111463.54000001196</v>
      </c>
      <c r="J106">
        <v>84218.540000004898</v>
      </c>
      <c r="K106">
        <v>27245</v>
      </c>
      <c r="L106">
        <v>6697</v>
      </c>
      <c r="M106">
        <v>0.24442970320157675</v>
      </c>
    </row>
    <row r="107" spans="1:13" x14ac:dyDescent="0.3">
      <c r="A107">
        <v>2023</v>
      </c>
      <c r="B107">
        <v>9</v>
      </c>
      <c r="C107" t="s">
        <v>46</v>
      </c>
      <c r="D107" s="4">
        <v>45170</v>
      </c>
      <c r="E107" t="s">
        <v>62</v>
      </c>
      <c r="F107">
        <v>202309</v>
      </c>
      <c r="G107" t="s">
        <v>19</v>
      </c>
      <c r="H107">
        <v>12277</v>
      </c>
      <c r="I107">
        <v>214803.22999998048</v>
      </c>
      <c r="J107">
        <v>171367.22999999646</v>
      </c>
      <c r="K107">
        <v>43436</v>
      </c>
      <c r="L107">
        <v>10303</v>
      </c>
      <c r="M107">
        <v>0.20221297417177547</v>
      </c>
    </row>
    <row r="108" spans="1:13" x14ac:dyDescent="0.3">
      <c r="A108">
        <v>2023</v>
      </c>
      <c r="B108">
        <v>9</v>
      </c>
      <c r="C108" t="s">
        <v>46</v>
      </c>
      <c r="D108" s="4">
        <v>45170</v>
      </c>
      <c r="E108" t="s">
        <v>62</v>
      </c>
      <c r="F108">
        <v>202309</v>
      </c>
      <c r="G108" t="s">
        <v>21</v>
      </c>
      <c r="H108">
        <v>6311</v>
      </c>
      <c r="I108">
        <v>72150.889999999199</v>
      </c>
      <c r="J108">
        <v>51628.889999998188</v>
      </c>
      <c r="K108">
        <v>20522</v>
      </c>
      <c r="L108">
        <v>5579</v>
      </c>
      <c r="M108">
        <v>0.28443169585295797</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5F7CD-C85E-45C2-89F0-3E776DB5403D}">
  <dimension ref="A1:F20"/>
  <sheetViews>
    <sheetView topLeftCell="A6" workbookViewId="0">
      <selection activeCell="H14" sqref="H14"/>
    </sheetView>
  </sheetViews>
  <sheetFormatPr defaultRowHeight="14.4" x14ac:dyDescent="0.3"/>
  <cols>
    <col min="1" max="1" width="17.88671875" customWidth="1"/>
    <col min="2" max="2" width="13.88671875" customWidth="1"/>
    <col min="3" max="3" width="14.33203125" customWidth="1"/>
    <col min="4" max="4" width="10.77734375" customWidth="1"/>
    <col min="5" max="5" width="14.21875" customWidth="1"/>
  </cols>
  <sheetData>
    <row r="1" spans="1:6" ht="28.8" x14ac:dyDescent="0.3">
      <c r="A1" s="1" t="s">
        <v>0</v>
      </c>
      <c r="B1" s="1"/>
      <c r="C1" s="1"/>
      <c r="D1" s="1"/>
      <c r="E1" s="1"/>
      <c r="F1" s="1"/>
    </row>
    <row r="2" spans="1:6" x14ac:dyDescent="0.3">
      <c r="A2" s="1"/>
      <c r="B2" s="1"/>
      <c r="C2" s="1"/>
      <c r="D2" s="1"/>
      <c r="E2" s="1"/>
      <c r="F2" s="1"/>
    </row>
    <row r="3" spans="1:6" ht="16.8" customHeight="1" x14ac:dyDescent="0.3">
      <c r="A3" s="2" t="s">
        <v>71</v>
      </c>
      <c r="B3" s="2" t="s">
        <v>72</v>
      </c>
      <c r="C3" s="5" t="s">
        <v>1</v>
      </c>
      <c r="D3" s="2" t="s">
        <v>2</v>
      </c>
      <c r="E3" s="2" t="s">
        <v>3</v>
      </c>
      <c r="F3" s="2" t="s">
        <v>4</v>
      </c>
    </row>
    <row r="4" spans="1:6" ht="46.2" customHeight="1" x14ac:dyDescent="0.3">
      <c r="A4" s="2" t="s">
        <v>5</v>
      </c>
      <c r="B4" s="2" t="s">
        <v>6</v>
      </c>
      <c r="C4" s="6">
        <v>829262</v>
      </c>
      <c r="D4" s="3" t="s">
        <v>73</v>
      </c>
      <c r="E4" s="3" t="s">
        <v>7</v>
      </c>
      <c r="F4" s="2" t="s">
        <v>79</v>
      </c>
    </row>
    <row r="5" spans="1:6" ht="57.6" x14ac:dyDescent="0.3">
      <c r="A5" s="2" t="s">
        <v>8</v>
      </c>
      <c r="B5" s="2" t="s">
        <v>9</v>
      </c>
      <c r="C5" s="6">
        <v>35</v>
      </c>
      <c r="D5" s="3" t="s">
        <v>74</v>
      </c>
      <c r="E5" s="3" t="s">
        <v>7</v>
      </c>
      <c r="F5" s="2" t="s">
        <v>80</v>
      </c>
    </row>
    <row r="6" spans="1:6" ht="57.6" x14ac:dyDescent="0.3">
      <c r="A6" s="2" t="s">
        <v>10</v>
      </c>
      <c r="B6" s="2" t="s">
        <v>14</v>
      </c>
      <c r="C6" s="6">
        <v>50</v>
      </c>
      <c r="D6" s="3" t="s">
        <v>75</v>
      </c>
      <c r="E6" s="3" t="s">
        <v>7</v>
      </c>
      <c r="F6" s="2" t="s">
        <v>80</v>
      </c>
    </row>
    <row r="7" spans="1:6" ht="57.6" x14ac:dyDescent="0.3">
      <c r="A7" s="2" t="s">
        <v>11</v>
      </c>
      <c r="B7" s="2" t="s">
        <v>15</v>
      </c>
      <c r="C7" s="6">
        <v>1593</v>
      </c>
      <c r="D7" s="3" t="s">
        <v>76</v>
      </c>
      <c r="E7" s="3" t="s">
        <v>7</v>
      </c>
      <c r="F7" s="2" t="s">
        <v>80</v>
      </c>
    </row>
    <row r="8" spans="1:6" ht="72" x14ac:dyDescent="0.3">
      <c r="A8" s="2" t="s">
        <v>12</v>
      </c>
      <c r="B8" s="2" t="s">
        <v>16</v>
      </c>
      <c r="C8" s="6">
        <v>638</v>
      </c>
      <c r="D8" s="3" t="s">
        <v>77</v>
      </c>
      <c r="E8" s="3" t="s">
        <v>7</v>
      </c>
      <c r="F8" s="2" t="s">
        <v>81</v>
      </c>
    </row>
    <row r="9" spans="1:6" ht="43.2" x14ac:dyDescent="0.3">
      <c r="A9" s="2" t="s">
        <v>13</v>
      </c>
      <c r="B9" s="2" t="s">
        <v>17</v>
      </c>
      <c r="C9" s="6">
        <v>18</v>
      </c>
      <c r="D9" s="3" t="s">
        <v>78</v>
      </c>
      <c r="E9" s="3" t="s">
        <v>7</v>
      </c>
      <c r="F9" s="2" t="s">
        <v>82</v>
      </c>
    </row>
    <row r="10" spans="1:6" ht="15" customHeight="1" x14ac:dyDescent="0.3">
      <c r="A10" s="1"/>
      <c r="B10" s="1"/>
      <c r="C10" s="1"/>
      <c r="D10" s="1"/>
      <c r="E10" s="1"/>
      <c r="F10" s="1"/>
    </row>
    <row r="11" spans="1:6" ht="88.8" customHeight="1" x14ac:dyDescent="0.3">
      <c r="A11" s="25" t="s">
        <v>83</v>
      </c>
      <c r="B11" s="25"/>
      <c r="C11" s="25"/>
      <c r="D11" s="25"/>
      <c r="E11" s="25"/>
      <c r="F11" s="25"/>
    </row>
    <row r="12" spans="1:6" x14ac:dyDescent="0.3">
      <c r="A12" s="1"/>
      <c r="B12" s="1"/>
      <c r="C12" s="1"/>
      <c r="D12" s="1"/>
      <c r="E12" s="1"/>
      <c r="F12" s="1"/>
    </row>
    <row r="13" spans="1:6" x14ac:dyDescent="0.3">
      <c r="A13" s="1" t="s">
        <v>84</v>
      </c>
      <c r="B13" s="1"/>
      <c r="C13" s="1"/>
      <c r="D13" s="1"/>
      <c r="E13" s="1"/>
      <c r="F13" s="1"/>
    </row>
    <row r="14" spans="1:6" x14ac:dyDescent="0.3">
      <c r="A14" s="26" t="s">
        <v>85</v>
      </c>
      <c r="B14" s="26"/>
      <c r="C14" s="26"/>
      <c r="D14" s="26"/>
      <c r="E14" s="26"/>
      <c r="F14" s="26"/>
    </row>
    <row r="15" spans="1:6" x14ac:dyDescent="0.3">
      <c r="A15" s="1"/>
      <c r="B15" s="1"/>
      <c r="C15" s="1"/>
      <c r="D15" s="1"/>
      <c r="E15" s="1"/>
      <c r="F15" s="1"/>
    </row>
    <row r="16" spans="1:6" x14ac:dyDescent="0.3">
      <c r="A16" s="1"/>
      <c r="B16" s="1"/>
      <c r="C16" s="1"/>
      <c r="D16" s="1"/>
      <c r="E16" s="1"/>
      <c r="F16" s="1"/>
    </row>
    <row r="17" spans="1:6" x14ac:dyDescent="0.3">
      <c r="A17" s="1"/>
      <c r="B17" s="1"/>
      <c r="C17" s="1"/>
      <c r="D17" s="1"/>
      <c r="E17" s="1"/>
      <c r="F17" s="1"/>
    </row>
    <row r="18" spans="1:6" x14ac:dyDescent="0.3">
      <c r="A18" s="1"/>
      <c r="B18" s="1"/>
      <c r="C18" s="1"/>
      <c r="D18" s="1"/>
      <c r="E18" s="1"/>
      <c r="F18" s="1"/>
    </row>
    <row r="19" spans="1:6" x14ac:dyDescent="0.3">
      <c r="A19" s="1"/>
      <c r="B19" s="1"/>
      <c r="C19" s="1"/>
      <c r="D19" s="1"/>
      <c r="E19" s="1"/>
      <c r="F19" s="1"/>
    </row>
    <row r="20" spans="1:6" x14ac:dyDescent="0.3">
      <c r="A20" s="1"/>
      <c r="B20" s="1"/>
      <c r="C20" s="1"/>
      <c r="D20" s="1"/>
      <c r="E20" s="1"/>
      <c r="F20" s="1"/>
    </row>
  </sheetData>
  <mergeCells count="2">
    <mergeCell ref="A11:F11"/>
    <mergeCell ref="A14:F14"/>
  </mergeCells>
  <hyperlinks>
    <hyperlink ref="A14" r:id="rId1" display="https://mavenanalytics.io/data-playground/mexico-toy-sales" xr:uid="{D21000D2-32A3-4C79-B8BD-9D8751A77E10}"/>
    <hyperlink ref="A14:F14" r:id="rId2" display="Mexico Toy Sales — Maven Analytics" xr:uid="{44C2EF04-EA4E-49EC-949E-37D28E339B4C}"/>
  </hyperlinks>
  <pageMargins left="0.7" right="0.7" top="0.75" bottom="0.75" header="0.3" footer="0.3"/>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ABC8AC4E-596D-414C-A422-F8B4B2642E95}">
  <ds:schemaRefs/>
</ds:datastoreItem>
</file>

<file path=customXml/itemProps2.xml><?xml version="1.0" encoding="utf-8"?>
<ds:datastoreItem xmlns:ds="http://schemas.openxmlformats.org/officeDocument/2006/customXml" ds:itemID="{87E0647A-AB01-4852-99B1-7B6E4B850B10}">
  <ds:schemaRefs/>
</ds:datastoreItem>
</file>

<file path=customXml/itemProps3.xml><?xml version="1.0" encoding="utf-8"?>
<ds:datastoreItem xmlns:ds="http://schemas.openxmlformats.org/officeDocument/2006/customXml" ds:itemID="{DDB0931E-6965-435E-AFE7-946EE041A432}">
  <ds:schemaRefs/>
</ds:datastoreItem>
</file>

<file path=customXml/itemProps4.xml><?xml version="1.0" encoding="utf-8"?>
<ds:datastoreItem xmlns:ds="http://schemas.openxmlformats.org/officeDocument/2006/customXml" ds:itemID="{91F7259C-3A92-4EEA-8251-665CA16C9B26}">
  <ds:schemaRefs/>
</ds:datastoreItem>
</file>

<file path=customXml/itemProps5.xml><?xml version="1.0" encoding="utf-8"?>
<ds:datastoreItem xmlns:ds="http://schemas.openxmlformats.org/officeDocument/2006/customXml" ds:itemID="{2A10A665-E2E2-44D8-A23B-F5D5A2D753FA}">
  <ds:schemaRefs/>
</ds:datastoreItem>
</file>

<file path=customXml/itemProps6.xml><?xml version="1.0" encoding="utf-8"?>
<ds:datastoreItem xmlns:ds="http://schemas.openxmlformats.org/officeDocument/2006/customXml" ds:itemID="{FE994B97-C234-49E3-8FCB-1FEEB5C6D58E}">
  <ds:schemaRefs/>
</ds:datastoreItem>
</file>

<file path=customXml/itemProps7.xml><?xml version="1.0" encoding="utf-8"?>
<ds:datastoreItem xmlns:ds="http://schemas.openxmlformats.org/officeDocument/2006/customXml" ds:itemID="{88C07C20-2662-476B-AFC8-275EFA2EFEA7}">
  <ds:schemaRefs/>
</ds:datastoreItem>
</file>

<file path=customXml/itemProps8.xml><?xml version="1.0" encoding="utf-8"?>
<ds:datastoreItem xmlns:ds="http://schemas.openxmlformats.org/officeDocument/2006/customXml" ds:itemID="{8ACED6AA-935A-4EF0-9BFC-338DFD47A092}">
  <ds:schemaRefs>
    <ds:schemaRef ds:uri="http://schemas.microsoft.com/DataMashup"/>
  </ds:schemaRefs>
</ds:datastoreItem>
</file>

<file path=customXml/itemProps9.xml><?xml version="1.0" encoding="utf-8"?>
<ds:datastoreItem xmlns:ds="http://schemas.openxmlformats.org/officeDocument/2006/customXml" ds:itemID="{14E786DD-79B0-4302-BB13-ADDB6D938E1C}">
  <ds:schemaRefs/>
</ds:datastoreItem>
</file>

<file path=customXml/itemProps10.xml><?xml version="1.0" encoding="utf-8"?>
<ds:datastoreItem xmlns:ds="http://schemas.openxmlformats.org/officeDocument/2006/customXml" ds:itemID="{8D3B6672-ED06-4B72-AC6B-19794EB5FB31}">
  <ds:schemaRefs/>
</ds:datastoreItem>
</file>

<file path=customXml/itemProps11.xml><?xml version="1.0" encoding="utf-8"?>
<ds:datastoreItem xmlns:ds="http://schemas.openxmlformats.org/officeDocument/2006/customXml" ds:itemID="{655D1766-0484-4249-A638-6C24E82476D1}">
  <ds:schemaRefs/>
</ds:datastoreItem>
</file>

<file path=customXml/itemProps12.xml><?xml version="1.0" encoding="utf-8"?>
<ds:datastoreItem xmlns:ds="http://schemas.openxmlformats.org/officeDocument/2006/customXml" ds:itemID="{E9592F9B-FBFF-4E5D-BBF0-83ED1278E76A}">
  <ds:schemaRefs/>
</ds:datastoreItem>
</file>

<file path=customXml/itemProps13.xml><?xml version="1.0" encoding="utf-8"?>
<ds:datastoreItem xmlns:ds="http://schemas.openxmlformats.org/officeDocument/2006/customXml" ds:itemID="{C458F583-07D7-4EE6-AACD-B98FD79D3EF7}">
  <ds:schemaRefs/>
</ds:datastoreItem>
</file>

<file path=customXml/itemProps14.xml><?xml version="1.0" encoding="utf-8"?>
<ds:datastoreItem xmlns:ds="http://schemas.openxmlformats.org/officeDocument/2006/customXml" ds:itemID="{622B3CA5-9E71-4ED3-8839-5691982F6B55}">
  <ds:schemaRefs/>
</ds:datastoreItem>
</file>

<file path=customXml/itemProps15.xml><?xml version="1.0" encoding="utf-8"?>
<ds:datastoreItem xmlns:ds="http://schemas.openxmlformats.org/officeDocument/2006/customXml" ds:itemID="{B19729AF-448A-4B7D-9D22-284AE0BFAE98}">
  <ds:schemaRefs/>
</ds:datastoreItem>
</file>

<file path=customXml/itemProps16.xml><?xml version="1.0" encoding="utf-8"?>
<ds:datastoreItem xmlns:ds="http://schemas.openxmlformats.org/officeDocument/2006/customXml" ds:itemID="{E5BA3344-89E0-4409-A597-582FD128068F}">
  <ds:schemaRefs/>
</ds:datastoreItem>
</file>

<file path=customXml/itemProps17.xml><?xml version="1.0" encoding="utf-8"?>
<ds:datastoreItem xmlns:ds="http://schemas.openxmlformats.org/officeDocument/2006/customXml" ds:itemID="{36BCAE4D-923B-45A7-9605-A74750E4B69A}">
  <ds:schemaRefs/>
</ds:datastoreItem>
</file>

<file path=customXml/itemProps18.xml><?xml version="1.0" encoding="utf-8"?>
<ds:datastoreItem xmlns:ds="http://schemas.openxmlformats.org/officeDocument/2006/customXml" ds:itemID="{824FD06A-E1C2-4113-8113-91C426B0BB17}">
  <ds:schemaRefs/>
</ds:datastoreItem>
</file>

<file path=customXml/itemProps19.xml><?xml version="1.0" encoding="utf-8"?>
<ds:datastoreItem xmlns:ds="http://schemas.openxmlformats.org/officeDocument/2006/customXml" ds:itemID="{9148FD0B-98C4-45D9-BCDB-53B6DD00A256}">
  <ds:schemaRefs/>
</ds:datastoreItem>
</file>

<file path=customXml/itemProps20.xml><?xml version="1.0" encoding="utf-8"?>
<ds:datastoreItem xmlns:ds="http://schemas.openxmlformats.org/officeDocument/2006/customXml" ds:itemID="{BA9A572A-D0DE-407B-AE1F-D683462CB4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Monthly_Category_Actuals</vt:lpstr>
      <vt:lpstr>Inventory_Clean</vt:lpstr>
      <vt:lpstr>Sales_Clean</vt:lpstr>
      <vt:lpstr>Calendar_Clean</vt:lpstr>
      <vt:lpstr>Stores_Clean</vt:lpstr>
      <vt:lpstr>Products_Clean</vt:lpstr>
      <vt:lpstr>Instructions</vt:lpstr>
      <vt:lpstr>Dashboard</vt:lpstr>
      <vt:lpstr>Assumptions</vt:lpstr>
      <vt:lpstr>Budget</vt:lpstr>
      <vt:lpstr>Forecast</vt:lpstr>
      <vt:lpstr>Analysis</vt:lpstr>
      <vt:lpstr>Clean Data</vt:lpstr>
      <vt:lpstr>Raw Data</vt:lpstr>
      <vt:lpstr>Xs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2026-09-23T00:41:39Z</dcterms:created>
  <dcterms:modified xsi:type="dcterms:W3CDTF">2026-09-30T15:50:15Z</dcterms:modified>
</cp:coreProperties>
</file>